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696" windowWidth="18192" windowHeight="8340" tabRatio="871"/>
  </bookViews>
  <sheets>
    <sheet name="PTRM Inputs" sheetId="20" r:id="rId1"/>
    <sheet name="Instructions" sheetId="15" r:id="rId2"/>
    <sheet name="DNSP Data Inputs 2013-15" sheetId="16" r:id="rId3"/>
    <sheet name="Data 2006-08" sheetId="3" r:id="rId4"/>
    <sheet name="Data 2009-12" sheetId="19" r:id="rId5"/>
    <sheet name="Data 2009-15 (Real $2008)" sheetId="4" r:id="rId6"/>
    <sheet name="Tariff Compliance" sheetId="14" r:id="rId7"/>
    <sheet name="AMI Building Blocks 2009-15" sheetId="13" r:id="rId8"/>
    <sheet name="AMI Tax Depn 2009-15" sheetId="17" r:id="rId9"/>
    <sheet name="AMI RAB 2009-15" sheetId="12" r:id="rId10"/>
    <sheet name="Offset of Costs and Rev 2006-08" sheetId="8" r:id="rId11"/>
    <sheet name="IMRO Decision 2006-10" sheetId="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10remlife">'[1]PTRM input'!$L$16</definedName>
    <definedName name="A10stdlife">'[1]PTRM input'!$M$16</definedName>
    <definedName name="A10taxremlife">'[1]PTRM input'!$O$16</definedName>
    <definedName name="A10taxstdlife">'[1]PTRM input'!$P$16</definedName>
    <definedName name="A10taxvalue">'[1]PTRM input'!$N$16</definedName>
    <definedName name="A10value">'[1]PTRM input'!$J$16</definedName>
    <definedName name="A11remlife">'[1]PTRM input'!$L$17</definedName>
    <definedName name="A11stdlife">'[1]PTRM input'!$M$17</definedName>
    <definedName name="A11taxremlife">'[1]PTRM input'!$O$17</definedName>
    <definedName name="A11taxstdlife">'[1]PTRM input'!$P$17</definedName>
    <definedName name="A11taxvalue">'[1]PTRM input'!$N$17</definedName>
    <definedName name="A11value">'[1]PTRM input'!$J$17</definedName>
    <definedName name="A12remlife">'[1]PTRM input'!$L$18</definedName>
    <definedName name="A12stdlife">'[1]PTRM input'!$M$18</definedName>
    <definedName name="A12taxremlife">'[1]PTRM input'!$O$18</definedName>
    <definedName name="A12taxstdlife">'[1]PTRM input'!$P$18</definedName>
    <definedName name="A12taxvalue">'[1]PTRM input'!$N$18</definedName>
    <definedName name="A12value">'[1]PTRM input'!$J$18</definedName>
    <definedName name="A13remlife">'[1]PTRM input'!$L$19</definedName>
    <definedName name="A13stdlife">'[1]PTRM input'!$M$19</definedName>
    <definedName name="A13taxremlife">'[1]PTRM input'!$O$19</definedName>
    <definedName name="A13taxstdlife">'[1]PTRM input'!$P$19</definedName>
    <definedName name="A13taxvalue">'[1]PTRM input'!$N$19</definedName>
    <definedName name="A13value">'[1]PTRM input'!$J$19</definedName>
    <definedName name="A14remlife">'[1]PTRM input'!$L$20</definedName>
    <definedName name="A14stdlife">'[1]PTRM input'!$M$20</definedName>
    <definedName name="A14taxremlife">'[1]PTRM input'!$O$20</definedName>
    <definedName name="A14taxstdlife">'[1]PTRM input'!$P$20</definedName>
    <definedName name="A14taxvalue">'[1]PTRM input'!$N$20</definedName>
    <definedName name="A14value">'[1]PTRM input'!$J$20</definedName>
    <definedName name="A15remlife">'[1]PTRM input'!$L$21</definedName>
    <definedName name="A15stdlife">'[1]PTRM input'!$M$21</definedName>
    <definedName name="A15taxremlife">'[1]PTRM input'!$O$21</definedName>
    <definedName name="A15taxstdlife">'[1]PTRM input'!$P$21</definedName>
    <definedName name="A15taxvalue">'[1]PTRM input'!$N$21</definedName>
    <definedName name="A15value">'[1]PTRM input'!$J$21</definedName>
    <definedName name="A16remlife">'[1]PTRM input'!$L$22</definedName>
    <definedName name="A16stdlife">'[1]PTRM input'!$M$22</definedName>
    <definedName name="A16taxremlife">'[1]PTRM input'!$O$22</definedName>
    <definedName name="A16taxstdlife">'[1]PTRM input'!$P$22</definedName>
    <definedName name="A16taxvalue">'[1]PTRM input'!$N$22</definedName>
    <definedName name="A16value">'[1]PTRM input'!$J$22</definedName>
    <definedName name="A17remlife">'[1]PTRM input'!$L$23</definedName>
    <definedName name="A17stdlife">'[1]PTRM input'!$M$23</definedName>
    <definedName name="A17taxremlife">'[1]PTRM input'!$O$23</definedName>
    <definedName name="A17taxstdlife">'[1]PTRM input'!$P$23</definedName>
    <definedName name="A17taxvalue">'[1]PTRM input'!$N$23</definedName>
    <definedName name="A17value">'[1]PTRM input'!$J$23</definedName>
    <definedName name="A18remlife">'[1]PTRM input'!$L$24</definedName>
    <definedName name="A18stdlife">'[1]PTRM input'!$M$24</definedName>
    <definedName name="A18taxremlife">'[1]PTRM input'!$O$24</definedName>
    <definedName name="A18taxstdlife">'[1]PTRM input'!$P$24</definedName>
    <definedName name="A18taxvalue">'[1]PTRM input'!$N$24</definedName>
    <definedName name="A18value">'[1]PTRM input'!$J$24</definedName>
    <definedName name="A19remlife">'[1]PTRM input'!$L$25</definedName>
    <definedName name="A19stdlife">'[1]PTRM input'!$M$25</definedName>
    <definedName name="A19taxremlife">'[1]PTRM input'!$O$25</definedName>
    <definedName name="A19taxstdlife">'[1]PTRM input'!$P$25</definedName>
    <definedName name="A19taxvalue">'[1]PTRM input'!$N$25</definedName>
    <definedName name="A19value">'[1]PTRM input'!$J$25</definedName>
    <definedName name="A1remlife">'[1]PTRM input'!$L$7</definedName>
    <definedName name="A1stdlife">'[1]PTRM input'!$M$7</definedName>
    <definedName name="A1taxremlife">'[1]PTRM input'!$O$7</definedName>
    <definedName name="A1taxstdlife">'[1]PTRM input'!$P$7</definedName>
    <definedName name="A1taxvalue">'[1]PTRM input'!$N$7</definedName>
    <definedName name="A1value">'[1]PTRM input'!$J$7</definedName>
    <definedName name="A20remlife">'[1]PTRM input'!$L$26</definedName>
    <definedName name="A20stdlife">'[1]PTRM input'!$M$26</definedName>
    <definedName name="A20taxremlife">'[1]PTRM input'!$O$26</definedName>
    <definedName name="A20taxstdlife">'[1]PTRM input'!$P$26</definedName>
    <definedName name="A20taxvalue">'[1]PTRM input'!$N$26</definedName>
    <definedName name="A20value">'[1]PTRM input'!$J$26</definedName>
    <definedName name="A21remlife">'[1]PTRM input'!$L$27</definedName>
    <definedName name="A21stdlife">'[1]PTRM input'!$M$27</definedName>
    <definedName name="A21taxremlife">'[1]PTRM input'!$O$27</definedName>
    <definedName name="A21taxstdlife">'[1]PTRM input'!$P$27</definedName>
    <definedName name="A21taxvalue">'[1]PTRM input'!$N$27</definedName>
    <definedName name="A21value">'[1]PTRM input'!$J$27</definedName>
    <definedName name="A22remlife">'[1]PTRM input'!$L$28</definedName>
    <definedName name="A22stdlife">'[1]PTRM input'!$M$28</definedName>
    <definedName name="A22taxremlife">'[1]PTRM input'!$O$28</definedName>
    <definedName name="A22taxstdlife">'[1]PTRM input'!$P$28</definedName>
    <definedName name="A22taxvalue">'[1]PTRM input'!$N$28</definedName>
    <definedName name="A22value">'[1]PTRM input'!$J$28</definedName>
    <definedName name="A23remlife">'[1]PTRM input'!$L$29</definedName>
    <definedName name="A23stdlife">'[1]PTRM input'!$M$29</definedName>
    <definedName name="A23taxremlife">'[1]PTRM input'!$O$29</definedName>
    <definedName name="A23taxstdlife">'[1]PTRM input'!$P$29</definedName>
    <definedName name="A23taxvalue">'[1]PTRM input'!$N$29</definedName>
    <definedName name="A23value">'[1]PTRM input'!$J$29</definedName>
    <definedName name="A24remlife">'[1]PTRM input'!$L$30</definedName>
    <definedName name="A24stdlife">'[1]PTRM input'!$M$30</definedName>
    <definedName name="A24taxremlife">'[1]PTRM input'!$O$30</definedName>
    <definedName name="A24taxstdlife">'[1]PTRM input'!$P$30</definedName>
    <definedName name="A24taxvalue">'[1]PTRM input'!$N$30</definedName>
    <definedName name="A24value">'[1]PTRM input'!$J$30</definedName>
    <definedName name="A25remlife">'[1]PTRM input'!$L$31</definedName>
    <definedName name="A25stdlife">'[1]PTRM input'!$M$31</definedName>
    <definedName name="A25taxremlife">'[1]PTRM input'!$O$31</definedName>
    <definedName name="A25taxstdlife">'[1]PTRM input'!$P$31</definedName>
    <definedName name="A25taxvalue">'[1]PTRM input'!$N$31</definedName>
    <definedName name="A25value">'[1]PTRM input'!$J$31</definedName>
    <definedName name="A26remlife">'[1]PTRM input'!$L$32</definedName>
    <definedName name="A26stdlife">'[1]PTRM input'!$M$32</definedName>
    <definedName name="A26taxremlife">'[1]PTRM input'!$O$32</definedName>
    <definedName name="A26taxstdlife">'[1]PTRM input'!$P$32</definedName>
    <definedName name="A26taxvalue">'[1]PTRM input'!$N$32</definedName>
    <definedName name="A26value">'[1]PTRM input'!$J$32</definedName>
    <definedName name="A27remlife">'[1]PTRM input'!$L$33</definedName>
    <definedName name="A27stdlife">'[1]PTRM input'!$M$33</definedName>
    <definedName name="A27taxremlife">'[1]PTRM input'!$O$33</definedName>
    <definedName name="A27taxstdlife">'[1]PTRM input'!$P$33</definedName>
    <definedName name="A27taxvalue">'[1]PTRM input'!$N$33</definedName>
    <definedName name="A27value">'[1]PTRM input'!$J$33</definedName>
    <definedName name="A28remlife">'[1]PTRM input'!$L$34</definedName>
    <definedName name="A28stdlife">'[1]PTRM input'!$M$34</definedName>
    <definedName name="A28taxremlife">'[1]PTRM input'!$O$34</definedName>
    <definedName name="A28taxstdlife">'[1]PTRM input'!$P$34</definedName>
    <definedName name="A28taxvalue">'[1]PTRM input'!$N$34</definedName>
    <definedName name="A28value">'[1]PTRM input'!$J$34</definedName>
    <definedName name="A29remlife">'[1]PTRM input'!$L$35</definedName>
    <definedName name="A29stdlife">'[1]PTRM input'!$M$35</definedName>
    <definedName name="A29taxremlife">'[1]PTRM input'!$O$35</definedName>
    <definedName name="A29taxstdlife">'[1]PTRM input'!$P$35</definedName>
    <definedName name="A29taxvalue">'[1]PTRM input'!$N$35</definedName>
    <definedName name="A29value">'[1]PTRM input'!$J$35</definedName>
    <definedName name="A2remlife">'[1]PTRM input'!$L$8</definedName>
    <definedName name="A2stdlife">'[1]PTRM input'!$M$8</definedName>
    <definedName name="A2taxremlife">'[1]PTRM input'!$O$8</definedName>
    <definedName name="A2taxstdlife">'[1]PTRM input'!$P$8</definedName>
    <definedName name="A2taxvalue">'[1]PTRM input'!$N$8</definedName>
    <definedName name="A2value">'[1]PTRM input'!$J$8</definedName>
    <definedName name="A30remlife">'[1]PTRM input'!$L$36</definedName>
    <definedName name="A30stdlife">'[1]PTRM input'!$M$36</definedName>
    <definedName name="A30taxremlife">'[1]PTRM input'!$O$36</definedName>
    <definedName name="A30taxstdlife">'[1]PTRM input'!$P$36</definedName>
    <definedName name="A30taxvalue">'[1]PTRM input'!$N$36</definedName>
    <definedName name="A30value">'[1]PTRM input'!$J$36</definedName>
    <definedName name="A3remlife">'[1]PTRM input'!$L$9</definedName>
    <definedName name="A3stdlife">'[1]PTRM input'!$M$9</definedName>
    <definedName name="A3taxremlife">'[1]PTRM input'!$O$9</definedName>
    <definedName name="A3taxstdlife">'[1]PTRM input'!$P$9</definedName>
    <definedName name="A3taxvalue">'[1]PTRM input'!$N$9</definedName>
    <definedName name="A3value">'[1]PTRM input'!$J$9</definedName>
    <definedName name="A4remlife">'[1]PTRM input'!$L$10</definedName>
    <definedName name="A4stdlife">'[1]PTRM input'!$M$10</definedName>
    <definedName name="A4taxremlife">'[1]PTRM input'!$O$10</definedName>
    <definedName name="A4taxstdlife">'[1]PTRM input'!$P$10</definedName>
    <definedName name="A4taxvalue">'[1]PTRM input'!$N$10</definedName>
    <definedName name="A4value">'[1]PTRM input'!$J$10</definedName>
    <definedName name="A5remlife">'[1]PTRM input'!$L$11</definedName>
    <definedName name="A5stdlife">'[1]PTRM input'!$M$11</definedName>
    <definedName name="A5taxremlife">'[1]PTRM input'!$O$11</definedName>
    <definedName name="A5taxstdlife">'[1]PTRM input'!$P$11</definedName>
    <definedName name="A5taxvalue">'[1]PTRM input'!$N$11</definedName>
    <definedName name="A5value">'[1]PTRM input'!$J$11</definedName>
    <definedName name="A6remlife">'[1]PTRM input'!$L$12</definedName>
    <definedName name="A6stdlife">'[1]PTRM input'!$M$12</definedName>
    <definedName name="A6taxremlife">'[1]PTRM input'!$O$12</definedName>
    <definedName name="A6taxstdlife">'[1]PTRM input'!$P$12</definedName>
    <definedName name="A6taxvalue">'[1]PTRM input'!$N$12</definedName>
    <definedName name="A6value">'[1]PTRM input'!$J$12</definedName>
    <definedName name="A7remlife">'[1]PTRM input'!$L$13</definedName>
    <definedName name="A7stdlife">'[1]PTRM input'!$M$13</definedName>
    <definedName name="A7taxremlife">'[1]PTRM input'!$O$13</definedName>
    <definedName name="A7taxstdlife">'[1]PTRM input'!$P$13</definedName>
    <definedName name="A7taxvalue">'[1]PTRM input'!$N$13</definedName>
    <definedName name="A7value">'[1]PTRM input'!$J$13</definedName>
    <definedName name="A8remlife">'[1]PTRM input'!$L$14</definedName>
    <definedName name="A8stdlife">'[1]PTRM input'!$M$14</definedName>
    <definedName name="A8taxremlife">'[1]PTRM input'!$O$14</definedName>
    <definedName name="A8taxstdlife">'[1]PTRM input'!$P$14</definedName>
    <definedName name="A8taxvalue">'[1]PTRM input'!$N$14</definedName>
    <definedName name="A8value">'[1]PTRM input'!$J$14</definedName>
    <definedName name="A9remlife">'[1]PTRM input'!$L$15</definedName>
    <definedName name="A9stdlife">'[1]PTRM input'!$M$15</definedName>
    <definedName name="A9taxremlife">'[1]PTRM input'!$O$15</definedName>
    <definedName name="A9taxstdlife">'[1]PTRM input'!$P$15</definedName>
    <definedName name="A9taxvalue">'[1]PTRM input'!$N$15</definedName>
    <definedName name="A9value">'[1]PTRM input'!$J$15</definedName>
    <definedName name="Asset1">'[1]PTRM input'!$G$7</definedName>
    <definedName name="Asset10">'[1]PTRM input'!$G$16</definedName>
    <definedName name="Asset11">'[1]PTRM input'!$G$17</definedName>
    <definedName name="Asset12">'[1]PTRM input'!$G$18</definedName>
    <definedName name="Asset13">'[1]PTRM input'!$G$19</definedName>
    <definedName name="Asset14">'[1]PTRM input'!$G$20</definedName>
    <definedName name="Asset15">'[1]PTRM input'!$G$21</definedName>
    <definedName name="Asset16">'[1]PTRM input'!$G$22</definedName>
    <definedName name="Asset17">'[1]PTRM input'!$G$23</definedName>
    <definedName name="Asset18">'[1]PTRM input'!$G$24</definedName>
    <definedName name="Asset19">'[1]PTRM input'!$G$25</definedName>
    <definedName name="Asset2">'[1]PTRM input'!$G$8</definedName>
    <definedName name="Asset20">'[1]PTRM input'!$G$26</definedName>
    <definedName name="Asset21">'[1]PTRM input'!$G$27</definedName>
    <definedName name="Asset22">'[1]PTRM input'!$G$28</definedName>
    <definedName name="Asset23">'[1]PTRM input'!$G$29</definedName>
    <definedName name="Asset24">'[1]PTRM input'!$G$30</definedName>
    <definedName name="Asset25">'[1]PTRM input'!$G$31</definedName>
    <definedName name="Asset26">'[1]PTRM input'!$G$32</definedName>
    <definedName name="Asset27">'[1]PTRM input'!$G$33</definedName>
    <definedName name="Asset28">'[1]PTRM input'!$G$34</definedName>
    <definedName name="Asset29">'[1]PTRM input'!$G$35</definedName>
    <definedName name="Asset3">'[1]PTRM input'!$G$9</definedName>
    <definedName name="Asset30">'[1]PTRM input'!$G$36</definedName>
    <definedName name="Asset4">'[1]PTRM input'!$G$10</definedName>
    <definedName name="Asset5">'[1]PTRM input'!$G$11</definedName>
    <definedName name="Asset6">'[1]PTRM input'!$G$12</definedName>
    <definedName name="Asset7">'[1]PTRM input'!$G$13</definedName>
    <definedName name="Asset8">'[1]PTRM input'!$G$14</definedName>
    <definedName name="Asset9">'[1]PTRM input'!$G$15</definedName>
    <definedName name="Drc">'[1]PTRM input'!$G$233</definedName>
    <definedName name="Drpc">'[1]PTRM input'!$G$231</definedName>
    <definedName name="Drpt">'[1]PTRM input'!$G$232</definedName>
    <definedName name="Dv">'[1]PTRM input'!$G$219</definedName>
    <definedName name="ERC_Final_Calc">'[1]Equity raising costs'!$Q$54</definedName>
    <definedName name="ERC_Yr01_Inc">'[1]PTRM input'!$G$70</definedName>
    <definedName name="f">'[1]PTRM input'!$G$216</definedName>
    <definedName name="g">'[1]PTRM input'!$G$218</definedName>
    <definedName name="Icpr">'[1]PTRM input'!$G$229</definedName>
    <definedName name="P_0_RevCap">'[1]X factors'!$G$63</definedName>
    <definedName name="P_0_RevYld">'[1]X factors'!$G$83</definedName>
    <definedName name="P_0_WAPC">'[1]X factors'!$G$47</definedName>
    <definedName name="_xlnm.Print_Area" localSheetId="4">'Data 2009-12'!$A$1:$L$125</definedName>
    <definedName name="RAB">'[1]PTRM input'!$J$37</definedName>
    <definedName name="rvanilla01">[1]WACC!$G$19</definedName>
    <definedName name="rvanilla02">[1]WACC!$H$19</definedName>
    <definedName name="rvanilla03">[1]WACC!$I$19</definedName>
    <definedName name="rvanilla04">[1]WACC!$J$19</definedName>
    <definedName name="rvanilla05">[1]WACC!$K$19</definedName>
    <definedName name="rvanilla06">[1]WACC!$L$19</definedName>
    <definedName name="rvanilla07">[1]WACC!$M$19</definedName>
    <definedName name="rvanilla08">[1]WACC!$N$19</definedName>
    <definedName name="rvanilla09">[1]WACC!$O$19</definedName>
    <definedName name="rvanilla10">[1]WACC!$P$19</definedName>
    <definedName name="Seo">'[1]PTRM input'!$G$230</definedName>
    <definedName name="vanilla01">[1]WACC!$G$18</definedName>
    <definedName name="vanilla02">[1]WACC!$H$18</definedName>
    <definedName name="vanilla03">[1]WACC!$I$18</definedName>
    <definedName name="vanilla04">[1]WACC!$J$18</definedName>
    <definedName name="vanilla05">[1]WACC!$K$18</definedName>
    <definedName name="vanilla06">[1]WACC!$L$18</definedName>
    <definedName name="vanilla07">[1]WACC!$M$18</definedName>
    <definedName name="vanilla08">[1]WACC!$N$18</definedName>
    <definedName name="vanilla09">[1]WACC!$O$18</definedName>
    <definedName name="vanilla10">[1]WACC!$P$18</definedName>
    <definedName name="X_02_RevCap">'[1]X factors'!$H$63</definedName>
    <definedName name="X_02_RevYld">'[1]X factors'!$H$83</definedName>
    <definedName name="X_02_WAPC">'[1]X factors'!$H$47</definedName>
    <definedName name="X_03_RevCap">'[1]X factors'!$I$63</definedName>
    <definedName name="X_03_RevYld">'[1]X factors'!$I$83</definedName>
    <definedName name="X_03_WAPC">'[1]X factors'!$I$47</definedName>
    <definedName name="X_04_RevCap">'[1]X factors'!$J$63</definedName>
    <definedName name="X_04_RevYld">'[1]X factors'!$J$83</definedName>
    <definedName name="X_04_WAPC">'[1]X factors'!$J$47</definedName>
    <definedName name="X_05_RevCap">'[1]X factors'!$K$63</definedName>
    <definedName name="X_05_RevYld">'[1]X factors'!$K$83</definedName>
    <definedName name="X_05_WAPC">'[1]X factors'!$K$47</definedName>
    <definedName name="X_06_RevCap">'[1]X factors'!$L$63</definedName>
    <definedName name="X_06_RevYld">'[1]X factors'!$L$83</definedName>
    <definedName name="X_06_WAPC">'[1]X factors'!$L$47</definedName>
    <definedName name="X_07_RevCap">'[1]X factors'!$M$63</definedName>
    <definedName name="X_07_RevYld">'[1]X factors'!$M$83</definedName>
    <definedName name="X_07_WAPC">'[1]X factors'!$M$47</definedName>
    <definedName name="X_08_RevCap">'[1]X factors'!$N$63</definedName>
    <definedName name="X_08_RevYld">'[1]X factors'!$N$83</definedName>
    <definedName name="X_08_WAPC">'[1]X factors'!$N$47</definedName>
    <definedName name="X_09_RevCap">'[1]X factors'!$O$63</definedName>
    <definedName name="X_09_RevYld">'[1]X factors'!$O$83</definedName>
    <definedName name="X_09_WAPC">'[1]X factors'!$O$47</definedName>
    <definedName name="X_10_RevCap">'[1]X factors'!$P$63</definedName>
    <definedName name="X_10_RevYld">'[1]X factors'!$P$83</definedName>
    <definedName name="X_10_WAPC">'[1]X factors'!$P$47</definedName>
  </definedNames>
  <calcPr calcId="145621" calcOnSave="0" concurrentCalc="0"/>
</workbook>
</file>

<file path=xl/calcChain.xml><?xml version="1.0" encoding="utf-8"?>
<calcChain xmlns="http://schemas.openxmlformats.org/spreadsheetml/2006/main">
  <c r="J13" i="16" l="1"/>
  <c r="J16" i="16"/>
  <c r="L17" i="16"/>
  <c r="J12" i="16"/>
  <c r="J14" i="16"/>
  <c r="D14" i="19"/>
  <c r="D14" i="4"/>
  <c r="D61" i="12"/>
  <c r="D184" i="12"/>
  <c r="B239" i="12"/>
  <c r="D239" i="12"/>
  <c r="D246" i="12"/>
  <c r="D64" i="12"/>
  <c r="D65" i="12"/>
  <c r="E60" i="12"/>
  <c r="E14" i="19"/>
  <c r="E14" i="4"/>
  <c r="E61" i="12"/>
  <c r="E239" i="12"/>
  <c r="E184" i="12"/>
  <c r="B240" i="12"/>
  <c r="E240" i="12"/>
  <c r="E246" i="12"/>
  <c r="E64" i="12"/>
  <c r="E65" i="12"/>
  <c r="F60" i="12"/>
  <c r="F14" i="19"/>
  <c r="F14" i="4"/>
  <c r="F61" i="12"/>
  <c r="F239" i="12"/>
  <c r="F240" i="12"/>
  <c r="F184" i="12"/>
  <c r="B241" i="12"/>
  <c r="F241" i="12"/>
  <c r="F246" i="12"/>
  <c r="F64" i="12"/>
  <c r="F65" i="12"/>
  <c r="G60" i="12"/>
  <c r="G14" i="19"/>
  <c r="G14" i="4"/>
  <c r="G61" i="12"/>
  <c r="G239" i="12"/>
  <c r="G240" i="12"/>
  <c r="G241" i="12"/>
  <c r="G184" i="12"/>
  <c r="B242" i="12"/>
  <c r="G242" i="12"/>
  <c r="G246" i="12"/>
  <c r="G64" i="12"/>
  <c r="G65" i="12"/>
  <c r="H60" i="12"/>
  <c r="H14" i="16"/>
  <c r="H14" i="4"/>
  <c r="H61" i="12"/>
  <c r="H239" i="12"/>
  <c r="H240" i="12"/>
  <c r="H241" i="12"/>
  <c r="H242" i="12"/>
  <c r="H184" i="12"/>
  <c r="B243" i="12"/>
  <c r="H243" i="12"/>
  <c r="H246" i="12"/>
  <c r="H64" i="12"/>
  <c r="H65" i="12"/>
  <c r="I60" i="12"/>
  <c r="I14" i="16"/>
  <c r="I14" i="4"/>
  <c r="I61" i="12"/>
  <c r="I239" i="12"/>
  <c r="I240" i="12"/>
  <c r="I241" i="12"/>
  <c r="I242" i="12"/>
  <c r="I243" i="12"/>
  <c r="I184" i="12"/>
  <c r="B244" i="12"/>
  <c r="I244" i="12"/>
  <c r="I246" i="12"/>
  <c r="I64" i="12"/>
  <c r="I65" i="12"/>
  <c r="J60" i="12"/>
  <c r="J239" i="12"/>
  <c r="J240" i="12"/>
  <c r="J241" i="12"/>
  <c r="J242" i="12"/>
  <c r="J243" i="12"/>
  <c r="J244" i="12"/>
  <c r="J14" i="4"/>
  <c r="J184" i="12"/>
  <c r="B245" i="12"/>
  <c r="J245" i="12"/>
  <c r="J246" i="12"/>
  <c r="J64" i="12"/>
  <c r="J61" i="12"/>
  <c r="J65" i="12"/>
  <c r="K60" i="12"/>
  <c r="B7" i="20"/>
  <c r="D7" i="20"/>
  <c r="D13" i="19"/>
  <c r="D13" i="4"/>
  <c r="D51" i="12"/>
  <c r="D183" i="12"/>
  <c r="B227" i="12"/>
  <c r="D227" i="12"/>
  <c r="D234" i="12"/>
  <c r="D54" i="12"/>
  <c r="D55" i="12"/>
  <c r="E50" i="12"/>
  <c r="E13" i="19"/>
  <c r="E13" i="4"/>
  <c r="E51" i="12"/>
  <c r="E227" i="12"/>
  <c r="E183" i="12"/>
  <c r="B228" i="12"/>
  <c r="E228" i="12"/>
  <c r="E234" i="12"/>
  <c r="E54" i="12"/>
  <c r="E55" i="12"/>
  <c r="F50" i="12"/>
  <c r="F13" i="19"/>
  <c r="F13" i="4"/>
  <c r="F51" i="12"/>
  <c r="F227" i="12"/>
  <c r="F228" i="12"/>
  <c r="F183" i="12"/>
  <c r="B229" i="12"/>
  <c r="F229" i="12"/>
  <c r="F234" i="12"/>
  <c r="F54" i="12"/>
  <c r="F55" i="12"/>
  <c r="G50" i="12"/>
  <c r="G13" i="19"/>
  <c r="G13" i="4"/>
  <c r="G51" i="12"/>
  <c r="G227" i="12"/>
  <c r="G228" i="12"/>
  <c r="G229" i="12"/>
  <c r="G183" i="12"/>
  <c r="B230" i="12"/>
  <c r="G230" i="12"/>
  <c r="G234" i="12"/>
  <c r="G54" i="12"/>
  <c r="G55" i="12"/>
  <c r="H50" i="12"/>
  <c r="H13" i="16"/>
  <c r="H13" i="4"/>
  <c r="H51" i="12"/>
  <c r="H227" i="12"/>
  <c r="H228" i="12"/>
  <c r="H229" i="12"/>
  <c r="H230" i="12"/>
  <c r="H183" i="12"/>
  <c r="B231" i="12"/>
  <c r="H231" i="12"/>
  <c r="H234" i="12"/>
  <c r="H54" i="12"/>
  <c r="H55" i="12"/>
  <c r="I50" i="12"/>
  <c r="I13" i="16"/>
  <c r="I13" i="4"/>
  <c r="I51" i="12"/>
  <c r="I227" i="12"/>
  <c r="I228" i="12"/>
  <c r="I229" i="12"/>
  <c r="I230" i="12"/>
  <c r="I231" i="12"/>
  <c r="I183" i="12"/>
  <c r="B232" i="12"/>
  <c r="I232" i="12"/>
  <c r="I234" i="12"/>
  <c r="I54" i="12"/>
  <c r="I55" i="12"/>
  <c r="J50" i="12"/>
  <c r="J227" i="12"/>
  <c r="J228" i="12"/>
  <c r="J229" i="12"/>
  <c r="J230" i="12"/>
  <c r="J231" i="12"/>
  <c r="J232" i="12"/>
  <c r="J13" i="4"/>
  <c r="J183" i="12"/>
  <c r="B233" i="12"/>
  <c r="J233" i="12"/>
  <c r="J234" i="12"/>
  <c r="J54" i="12"/>
  <c r="J51" i="12"/>
  <c r="J55" i="12"/>
  <c r="K50" i="12"/>
  <c r="B6" i="20"/>
  <c r="D6" i="20"/>
  <c r="J12" i="4"/>
  <c r="J41" i="12"/>
  <c r="J182" i="12"/>
  <c r="B221" i="12"/>
  <c r="J221" i="12"/>
  <c r="I12" i="16"/>
  <c r="I12" i="4"/>
  <c r="I182" i="12"/>
  <c r="B220" i="12"/>
  <c r="I220" i="12"/>
  <c r="J220" i="12"/>
  <c r="J222" i="12"/>
  <c r="J44" i="12"/>
  <c r="I41" i="12"/>
  <c r="I222" i="12"/>
  <c r="I44" i="12"/>
  <c r="I45" i="12"/>
  <c r="J40" i="12"/>
  <c r="J45" i="12"/>
  <c r="K40" i="12"/>
  <c r="B5" i="20"/>
  <c r="D5" i="20"/>
  <c r="N153" i="4"/>
  <c r="J144" i="4"/>
  <c r="H14" i="20"/>
  <c r="A20" i="20"/>
  <c r="G14" i="20"/>
  <c r="F14" i="20"/>
  <c r="E14" i="20"/>
  <c r="D14" i="20"/>
  <c r="C14" i="20"/>
  <c r="B14" i="20"/>
  <c r="H13" i="20"/>
  <c r="G13" i="20"/>
  <c r="F13" i="20"/>
  <c r="E13" i="20"/>
  <c r="D13" i="20"/>
  <c r="C13" i="20"/>
  <c r="B13" i="20"/>
  <c r="H12" i="20"/>
  <c r="G12" i="20"/>
  <c r="F12" i="20"/>
  <c r="E12" i="20"/>
  <c r="D12" i="20"/>
  <c r="C12" i="20"/>
  <c r="B12" i="20"/>
  <c r="E8" i="20"/>
  <c r="E7" i="20"/>
  <c r="E6" i="20"/>
  <c r="E5" i="20"/>
  <c r="D77" i="20"/>
  <c r="D76" i="20"/>
  <c r="D75" i="20"/>
  <c r="D74" i="20"/>
  <c r="D73" i="20"/>
  <c r="D72" i="20"/>
  <c r="D71" i="20"/>
  <c r="D33" i="20"/>
  <c r="D32" i="20"/>
  <c r="D31" i="20"/>
  <c r="D30" i="20"/>
  <c r="D29" i="20"/>
  <c r="B8" i="20"/>
  <c r="A8" i="20"/>
  <c r="A67" i="20"/>
  <c r="A7" i="20"/>
  <c r="A53" i="20"/>
  <c r="A6" i="20"/>
  <c r="A39" i="20"/>
  <c r="A5" i="20"/>
  <c r="A25" i="20"/>
  <c r="B4" i="20"/>
  <c r="C76" i="20"/>
  <c r="C75" i="20"/>
  <c r="C74" i="20"/>
  <c r="C73" i="20"/>
  <c r="C72" i="20"/>
  <c r="C71" i="20"/>
  <c r="B72" i="20"/>
  <c r="B73" i="20"/>
  <c r="B74" i="20"/>
  <c r="B75" i="20"/>
  <c r="B76" i="20"/>
  <c r="B77" i="20"/>
  <c r="C62" i="20"/>
  <c r="C61" i="20"/>
  <c r="C60" i="20"/>
  <c r="C59" i="20"/>
  <c r="C58" i="20"/>
  <c r="C57" i="20"/>
  <c r="B58" i="20"/>
  <c r="B59" i="20"/>
  <c r="B60" i="20"/>
  <c r="B61" i="20"/>
  <c r="B62" i="20"/>
  <c r="B63" i="20"/>
  <c r="C48" i="20"/>
  <c r="C47" i="20"/>
  <c r="C46" i="20"/>
  <c r="C45" i="20"/>
  <c r="C44" i="20"/>
  <c r="C43" i="20"/>
  <c r="B44" i="20"/>
  <c r="B45" i="20"/>
  <c r="B46" i="20"/>
  <c r="B47" i="20"/>
  <c r="B48" i="20"/>
  <c r="B49" i="20"/>
  <c r="C34" i="20"/>
  <c r="C33" i="20"/>
  <c r="C32" i="20"/>
  <c r="C31" i="20"/>
  <c r="C30" i="20"/>
  <c r="C29" i="20"/>
  <c r="B30" i="20"/>
  <c r="B31" i="20"/>
  <c r="B32" i="20"/>
  <c r="B33" i="20"/>
  <c r="B34" i="20"/>
  <c r="B35" i="20"/>
  <c r="B15" i="20"/>
  <c r="C15" i="20"/>
  <c r="D15" i="20"/>
  <c r="E15" i="20"/>
  <c r="F15" i="20"/>
  <c r="G15" i="20"/>
  <c r="B68" i="20"/>
  <c r="B54" i="20"/>
  <c r="B40" i="20"/>
  <c r="B26" i="20"/>
  <c r="H15" i="20"/>
  <c r="F31" i="20"/>
  <c r="E31" i="20"/>
  <c r="F35" i="20"/>
  <c r="F34" i="20"/>
  <c r="F30" i="20"/>
  <c r="E30" i="20"/>
  <c r="F33" i="20"/>
  <c r="E33" i="20"/>
  <c r="F29" i="20"/>
  <c r="E29" i="20"/>
  <c r="F32" i="20"/>
  <c r="E32" i="20"/>
  <c r="F47" i="20"/>
  <c r="F43" i="20"/>
  <c r="F46" i="20"/>
  <c r="F45" i="20"/>
  <c r="F49" i="20"/>
  <c r="F48" i="20"/>
  <c r="F44" i="20"/>
  <c r="F75" i="20"/>
  <c r="E75" i="20"/>
  <c r="F71" i="20"/>
  <c r="F74" i="20"/>
  <c r="E74" i="20"/>
  <c r="F73" i="20"/>
  <c r="E73" i="20"/>
  <c r="F77" i="20"/>
  <c r="E77" i="20"/>
  <c r="F76" i="20"/>
  <c r="E76" i="20"/>
  <c r="F72" i="20"/>
  <c r="E72" i="20"/>
  <c r="F59" i="20"/>
  <c r="F63" i="20"/>
  <c r="F62" i="20"/>
  <c r="F58" i="20"/>
  <c r="F61" i="20"/>
  <c r="F57" i="20"/>
  <c r="F60" i="20"/>
  <c r="I144" i="4"/>
  <c r="D8" i="20"/>
  <c r="E71" i="20"/>
  <c r="E78" i="20"/>
  <c r="I116" i="16"/>
  <c r="I115" i="16"/>
  <c r="I114" i="16"/>
  <c r="I113" i="16"/>
  <c r="I112" i="16"/>
  <c r="I111" i="16"/>
  <c r="I110" i="16"/>
  <c r="I109" i="16"/>
  <c r="I108" i="16"/>
  <c r="I107" i="16"/>
  <c r="I106" i="16"/>
  <c r="I102" i="16"/>
  <c r="I101" i="16"/>
  <c r="I100" i="16"/>
  <c r="I99" i="16"/>
  <c r="I98" i="16"/>
  <c r="I97" i="16"/>
  <c r="I96" i="16"/>
  <c r="I95" i="16"/>
  <c r="I94" i="16"/>
  <c r="I93" i="16"/>
  <c r="I92" i="16"/>
  <c r="I88" i="16"/>
  <c r="I87" i="16"/>
  <c r="I86" i="16"/>
  <c r="I85" i="16"/>
  <c r="I84" i="16"/>
  <c r="I83" i="16"/>
  <c r="I82" i="16"/>
  <c r="I78" i="16"/>
  <c r="I77" i="16"/>
  <c r="I76" i="16"/>
  <c r="I75" i="16"/>
  <c r="I74" i="16"/>
  <c r="I73" i="16"/>
  <c r="I72" i="16"/>
  <c r="H59" i="16"/>
  <c r="G78" i="20"/>
  <c r="F78" i="20"/>
  <c r="F8" i="20"/>
  <c r="J8" i="20"/>
  <c r="G55" i="4"/>
  <c r="G48" i="4"/>
  <c r="G47" i="4"/>
  <c r="G46" i="4"/>
  <c r="G45" i="4"/>
  <c r="G44" i="4"/>
  <c r="G43" i="4"/>
  <c r="G40" i="4"/>
  <c r="G39" i="4"/>
  <c r="G38" i="4"/>
  <c r="G37" i="4"/>
  <c r="G36" i="4"/>
  <c r="G35" i="4"/>
  <c r="G34" i="4"/>
  <c r="G23" i="4"/>
  <c r="G15" i="4"/>
  <c r="G12" i="4"/>
  <c r="G11" i="4"/>
  <c r="G10" i="4"/>
  <c r="G60" i="4"/>
  <c r="H60" i="4"/>
  <c r="H8" i="14"/>
  <c r="I102" i="4"/>
  <c r="I101" i="4"/>
  <c r="I100" i="4"/>
  <c r="I99" i="4"/>
  <c r="I98" i="4"/>
  <c r="N152" i="4"/>
  <c r="N151" i="4"/>
  <c r="H144" i="4"/>
  <c r="F55" i="4"/>
  <c r="E55" i="4"/>
  <c r="D55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23" i="4"/>
  <c r="E23" i="4"/>
  <c r="D23" i="4"/>
  <c r="F15" i="4"/>
  <c r="E15" i="4"/>
  <c r="D15" i="4"/>
  <c r="F12" i="4"/>
  <c r="E12" i="4"/>
  <c r="D12" i="4"/>
  <c r="F11" i="4"/>
  <c r="E11" i="4"/>
  <c r="D11" i="4"/>
  <c r="F10" i="4"/>
  <c r="E10" i="4"/>
  <c r="D10" i="4"/>
  <c r="H102" i="4"/>
  <c r="H101" i="4"/>
  <c r="H100" i="4"/>
  <c r="H99" i="4"/>
  <c r="H98" i="4"/>
  <c r="G8" i="14"/>
  <c r="F60" i="4"/>
  <c r="G102" i="4"/>
  <c r="G101" i="4"/>
  <c r="G100" i="4"/>
  <c r="G99" i="4"/>
  <c r="G98" i="4"/>
  <c r="N147" i="4"/>
  <c r="G144" i="4"/>
  <c r="E40" i="4"/>
  <c r="E60" i="4"/>
  <c r="F8" i="14"/>
  <c r="I26" i="16"/>
  <c r="H24" i="16"/>
  <c r="G41" i="12"/>
  <c r="G26" i="4"/>
  <c r="G31" i="12"/>
  <c r="Q116" i="4"/>
  <c r="N74" i="14"/>
  <c r="O116" i="4"/>
  <c r="J116" i="4"/>
  <c r="H74" i="14"/>
  <c r="G74" i="14"/>
  <c r="Q115" i="4"/>
  <c r="N73" i="14"/>
  <c r="P115" i="4"/>
  <c r="M73" i="14"/>
  <c r="J115" i="4"/>
  <c r="H73" i="14"/>
  <c r="G73" i="14"/>
  <c r="Q114" i="4"/>
  <c r="N72" i="14"/>
  <c r="O114" i="4"/>
  <c r="J114" i="4"/>
  <c r="H72" i="14"/>
  <c r="G72" i="14"/>
  <c r="P113" i="4"/>
  <c r="M71" i="14"/>
  <c r="O113" i="4"/>
  <c r="J113" i="4"/>
  <c r="H71" i="14"/>
  <c r="G71" i="14"/>
  <c r="Q112" i="4"/>
  <c r="N70" i="14"/>
  <c r="P112" i="4"/>
  <c r="M70" i="14"/>
  <c r="O112" i="4"/>
  <c r="J112" i="4"/>
  <c r="H70" i="14"/>
  <c r="G70" i="14"/>
  <c r="Q111" i="4"/>
  <c r="N69" i="14"/>
  <c r="P111" i="4"/>
  <c r="M69" i="14"/>
  <c r="O111" i="4"/>
  <c r="J111" i="4"/>
  <c r="H69" i="14"/>
  <c r="Q110" i="4"/>
  <c r="N68" i="14"/>
  <c r="P110" i="4"/>
  <c r="M68" i="14"/>
  <c r="O110" i="4"/>
  <c r="G68" i="14"/>
  <c r="Q109" i="4"/>
  <c r="N67" i="14"/>
  <c r="P109" i="4"/>
  <c r="M67" i="14"/>
  <c r="O109" i="4"/>
  <c r="J109" i="4"/>
  <c r="H67" i="14"/>
  <c r="G67" i="14"/>
  <c r="Q108" i="4"/>
  <c r="N66" i="14"/>
  <c r="P108" i="4"/>
  <c r="M66" i="14"/>
  <c r="J108" i="4"/>
  <c r="H66" i="14"/>
  <c r="G66" i="14"/>
  <c r="Q107" i="4"/>
  <c r="N65" i="14"/>
  <c r="P107" i="4"/>
  <c r="M65" i="14"/>
  <c r="J107" i="4"/>
  <c r="H65" i="14"/>
  <c r="G65" i="14"/>
  <c r="Q106" i="4"/>
  <c r="N64" i="14"/>
  <c r="O106" i="4"/>
  <c r="J106" i="4"/>
  <c r="H64" i="14"/>
  <c r="G64" i="14"/>
  <c r="Q97" i="4"/>
  <c r="N55" i="14"/>
  <c r="P97" i="4"/>
  <c r="M55" i="14"/>
  <c r="O97" i="4"/>
  <c r="J97" i="4"/>
  <c r="H55" i="14"/>
  <c r="G55" i="14"/>
  <c r="Q96" i="4"/>
  <c r="N54" i="14"/>
  <c r="P96" i="4"/>
  <c r="M54" i="14"/>
  <c r="O96" i="4"/>
  <c r="J96" i="4"/>
  <c r="H54" i="14"/>
  <c r="Q95" i="4"/>
  <c r="N53" i="14"/>
  <c r="P95" i="4"/>
  <c r="M53" i="14"/>
  <c r="O95" i="4"/>
  <c r="G53" i="14"/>
  <c r="Q94" i="4"/>
  <c r="N52" i="14"/>
  <c r="P94" i="4"/>
  <c r="M52" i="14"/>
  <c r="O94" i="4"/>
  <c r="J94" i="4"/>
  <c r="H52" i="14"/>
  <c r="G52" i="14"/>
  <c r="Q93" i="4"/>
  <c r="N51" i="14"/>
  <c r="P93" i="4"/>
  <c r="M51" i="14"/>
  <c r="O93" i="4"/>
  <c r="J93" i="4"/>
  <c r="H51" i="14"/>
  <c r="G51" i="14"/>
  <c r="Q92" i="4"/>
  <c r="N50" i="14"/>
  <c r="P92" i="4"/>
  <c r="M50" i="14"/>
  <c r="J92" i="4"/>
  <c r="H50" i="14"/>
  <c r="G50" i="14"/>
  <c r="Q88" i="4"/>
  <c r="N46" i="14"/>
  <c r="P88" i="4"/>
  <c r="M46" i="14"/>
  <c r="J88" i="4"/>
  <c r="H46" i="14"/>
  <c r="G46" i="14"/>
  <c r="Q87" i="4"/>
  <c r="N45" i="14"/>
  <c r="P87" i="4"/>
  <c r="M45" i="14"/>
  <c r="O87" i="4"/>
  <c r="J87" i="4"/>
  <c r="H45" i="14"/>
  <c r="G45" i="14"/>
  <c r="Q86" i="4"/>
  <c r="N44" i="14"/>
  <c r="P86" i="4"/>
  <c r="M44" i="14"/>
  <c r="J86" i="4"/>
  <c r="H44" i="14"/>
  <c r="G44" i="14"/>
  <c r="Q85" i="4"/>
  <c r="N43" i="14"/>
  <c r="O85" i="4"/>
  <c r="J85" i="4"/>
  <c r="H43" i="14"/>
  <c r="G43" i="14"/>
  <c r="P84" i="4"/>
  <c r="M42" i="14"/>
  <c r="O84" i="4"/>
  <c r="J84" i="4"/>
  <c r="H42" i="14"/>
  <c r="G42" i="14"/>
  <c r="Q83" i="4"/>
  <c r="N41" i="14"/>
  <c r="P83" i="4"/>
  <c r="M41" i="14"/>
  <c r="O83" i="4"/>
  <c r="J83" i="4"/>
  <c r="H41" i="14"/>
  <c r="G41" i="14"/>
  <c r="Q82" i="4"/>
  <c r="N40" i="14"/>
  <c r="P82" i="4"/>
  <c r="M40" i="14"/>
  <c r="O82" i="4"/>
  <c r="J82" i="4"/>
  <c r="H40" i="14"/>
  <c r="P78" i="4"/>
  <c r="M36" i="14"/>
  <c r="O78" i="4"/>
  <c r="J78" i="4"/>
  <c r="H36" i="14"/>
  <c r="G36" i="14"/>
  <c r="Q77" i="4"/>
  <c r="N35" i="14"/>
  <c r="P77" i="4"/>
  <c r="M35" i="14"/>
  <c r="O77" i="4"/>
  <c r="G35" i="14"/>
  <c r="Q76" i="4"/>
  <c r="N34" i="14"/>
  <c r="P76" i="4"/>
  <c r="M34" i="14"/>
  <c r="O76" i="4"/>
  <c r="J76" i="4"/>
  <c r="H34" i="14"/>
  <c r="Q75" i="4"/>
  <c r="N33" i="14"/>
  <c r="P75" i="4"/>
  <c r="M33" i="14"/>
  <c r="O75" i="4"/>
  <c r="G33" i="14"/>
  <c r="Q74" i="4"/>
  <c r="N32" i="14"/>
  <c r="P74" i="4"/>
  <c r="M32" i="14"/>
  <c r="J74" i="4"/>
  <c r="H32" i="14"/>
  <c r="G32" i="14"/>
  <c r="Q73" i="4"/>
  <c r="N31" i="14"/>
  <c r="P73" i="4"/>
  <c r="M31" i="14"/>
  <c r="O73" i="4"/>
  <c r="J73" i="4"/>
  <c r="H31" i="14"/>
  <c r="G31" i="14"/>
  <c r="Q72" i="4"/>
  <c r="N30" i="14"/>
  <c r="P72" i="4"/>
  <c r="M30" i="14"/>
  <c r="J72" i="4"/>
  <c r="H30" i="14"/>
  <c r="G30" i="14"/>
  <c r="F63" i="12"/>
  <c r="E63" i="12"/>
  <c r="G53" i="12"/>
  <c r="F53" i="12"/>
  <c r="E43" i="12"/>
  <c r="G72" i="12"/>
  <c r="E62" i="12"/>
  <c r="G32" i="12"/>
  <c r="F32" i="12"/>
  <c r="E22" i="12"/>
  <c r="Q78" i="4"/>
  <c r="N36" i="14"/>
  <c r="O72" i="4"/>
  <c r="O88" i="4"/>
  <c r="O86" i="4"/>
  <c r="P85" i="4"/>
  <c r="M43" i="14"/>
  <c r="Q84" i="4"/>
  <c r="N42" i="14"/>
  <c r="O115" i="4"/>
  <c r="Q113" i="4"/>
  <c r="N71" i="14"/>
  <c r="O108" i="4"/>
  <c r="O107" i="4"/>
  <c r="P106" i="4"/>
  <c r="M64" i="14"/>
  <c r="G54" i="14"/>
  <c r="J95" i="4"/>
  <c r="H53" i="14"/>
  <c r="J110" i="4"/>
  <c r="H68" i="14"/>
  <c r="G40" i="14"/>
  <c r="A27" i="6"/>
  <c r="D40" i="6"/>
  <c r="D63" i="6"/>
  <c r="E63" i="6"/>
  <c r="E278" i="6"/>
  <c r="F63" i="6"/>
  <c r="F71" i="6"/>
  <c r="G63" i="6"/>
  <c r="H63" i="6"/>
  <c r="D64" i="6"/>
  <c r="E64" i="6"/>
  <c r="F64" i="6"/>
  <c r="G64" i="6"/>
  <c r="H64" i="6"/>
  <c r="D65" i="6"/>
  <c r="E65" i="6"/>
  <c r="F65" i="6"/>
  <c r="G65" i="6"/>
  <c r="H65" i="6"/>
  <c r="D67" i="6"/>
  <c r="E67" i="6"/>
  <c r="F67" i="6"/>
  <c r="G67" i="6"/>
  <c r="H67" i="6"/>
  <c r="D71" i="6"/>
  <c r="D73" i="6"/>
  <c r="D75" i="6"/>
  <c r="D74" i="6"/>
  <c r="D76" i="6"/>
  <c r="D104" i="6"/>
  <c r="D106" i="6"/>
  <c r="E104" i="6"/>
  <c r="E106" i="6"/>
  <c r="F104" i="6"/>
  <c r="F106" i="6"/>
  <c r="G104" i="6"/>
  <c r="H104" i="6"/>
  <c r="D105" i="6"/>
  <c r="E105" i="6"/>
  <c r="E196" i="3"/>
  <c r="F105" i="6"/>
  <c r="G105" i="6"/>
  <c r="H105" i="6"/>
  <c r="H106" i="6"/>
  <c r="D109" i="6"/>
  <c r="E109" i="6"/>
  <c r="F109" i="6"/>
  <c r="G109" i="6"/>
  <c r="H109" i="6"/>
  <c r="D111" i="6"/>
  <c r="E111" i="6"/>
  <c r="E197" i="3"/>
  <c r="F111" i="6"/>
  <c r="F197" i="3"/>
  <c r="G111" i="6"/>
  <c r="H111" i="6"/>
  <c r="D122" i="6"/>
  <c r="E122" i="6"/>
  <c r="F122" i="6"/>
  <c r="G122" i="6"/>
  <c r="G263" i="6"/>
  <c r="H122" i="6"/>
  <c r="D123" i="6"/>
  <c r="E123" i="6"/>
  <c r="F123" i="6"/>
  <c r="F150" i="6"/>
  <c r="G123" i="6"/>
  <c r="H123" i="6"/>
  <c r="D125" i="6"/>
  <c r="D127" i="6"/>
  <c r="E127" i="6"/>
  <c r="E160" i="6"/>
  <c r="F127" i="6"/>
  <c r="F160" i="6"/>
  <c r="G127" i="6"/>
  <c r="H127" i="6"/>
  <c r="H232" i="6"/>
  <c r="D128" i="6"/>
  <c r="E128" i="6"/>
  <c r="E170" i="6"/>
  <c r="F128" i="6"/>
  <c r="G128" i="6"/>
  <c r="H128" i="6"/>
  <c r="D140" i="6"/>
  <c r="H208" i="6"/>
  <c r="E140" i="6"/>
  <c r="G140" i="6"/>
  <c r="D150" i="6"/>
  <c r="H150" i="6"/>
  <c r="D170" i="6"/>
  <c r="H170" i="6"/>
  <c r="D179" i="6"/>
  <c r="D181" i="6"/>
  <c r="E181" i="6"/>
  <c r="F181" i="6"/>
  <c r="G181" i="6"/>
  <c r="H181" i="6"/>
  <c r="C208" i="6"/>
  <c r="C209" i="6"/>
  <c r="C210" i="6"/>
  <c r="C211" i="6"/>
  <c r="C212" i="6"/>
  <c r="C218" i="6"/>
  <c r="H218" i="6"/>
  <c r="D218" i="6"/>
  <c r="D225" i="6"/>
  <c r="D152" i="6"/>
  <c r="D153" i="6"/>
  <c r="F218" i="6"/>
  <c r="C219" i="6"/>
  <c r="C220" i="6"/>
  <c r="H220" i="6"/>
  <c r="C221" i="6"/>
  <c r="C222" i="6"/>
  <c r="H222" i="6"/>
  <c r="C228" i="6"/>
  <c r="C229" i="6"/>
  <c r="E229" i="6"/>
  <c r="F229" i="6"/>
  <c r="G229" i="6"/>
  <c r="H229" i="6"/>
  <c r="C230" i="6"/>
  <c r="H230" i="6"/>
  <c r="F230" i="6"/>
  <c r="G230" i="6"/>
  <c r="C231" i="6"/>
  <c r="C232" i="6"/>
  <c r="C238" i="6"/>
  <c r="C239" i="6"/>
  <c r="E239" i="6"/>
  <c r="F239" i="6"/>
  <c r="C240" i="6"/>
  <c r="F240" i="6"/>
  <c r="C241" i="6"/>
  <c r="H241" i="6"/>
  <c r="C242" i="6"/>
  <c r="H242" i="6"/>
  <c r="D255" i="6"/>
  <c r="D256" i="6"/>
  <c r="D257" i="6"/>
  <c r="D258" i="6"/>
  <c r="D263" i="6"/>
  <c r="D267" i="6"/>
  <c r="E267" i="6"/>
  <c r="F267" i="6"/>
  <c r="F274" i="6"/>
  <c r="F262" i="6"/>
  <c r="G267" i="6"/>
  <c r="H267" i="6"/>
  <c r="D269" i="6"/>
  <c r="E269" i="6"/>
  <c r="F269" i="6"/>
  <c r="G269" i="6"/>
  <c r="H269" i="6"/>
  <c r="D270" i="6"/>
  <c r="E270" i="6"/>
  <c r="F270" i="6"/>
  <c r="G270" i="6"/>
  <c r="H270" i="6"/>
  <c r="D271" i="6"/>
  <c r="D274" i="6"/>
  <c r="E271" i="6"/>
  <c r="F271" i="6"/>
  <c r="G271" i="6"/>
  <c r="H271" i="6"/>
  <c r="D272" i="6"/>
  <c r="E272" i="6"/>
  <c r="F272" i="6"/>
  <c r="G272" i="6"/>
  <c r="G274" i="6"/>
  <c r="G262" i="6"/>
  <c r="G261" i="6"/>
  <c r="H272" i="6"/>
  <c r="D273" i="6"/>
  <c r="E273" i="6"/>
  <c r="F273" i="6"/>
  <c r="G273" i="6"/>
  <c r="H273" i="6"/>
  <c r="D278" i="6"/>
  <c r="D302" i="6"/>
  <c r="D301" i="6"/>
  <c r="D303" i="6"/>
  <c r="E300" i="6"/>
  <c r="D306" i="6"/>
  <c r="J356" i="6"/>
  <c r="K356" i="6"/>
  <c r="L356" i="6"/>
  <c r="M356" i="6"/>
  <c r="N356" i="6"/>
  <c r="H110" i="6"/>
  <c r="J358" i="6"/>
  <c r="K358" i="6"/>
  <c r="L358" i="6"/>
  <c r="F228" i="3"/>
  <c r="F192" i="3"/>
  <c r="M358" i="6"/>
  <c r="N358" i="6"/>
  <c r="J359" i="6"/>
  <c r="K359" i="6"/>
  <c r="L359" i="6"/>
  <c r="M359" i="6"/>
  <c r="N359" i="6"/>
  <c r="J360" i="6"/>
  <c r="D228" i="3"/>
  <c r="K360" i="6"/>
  <c r="L360" i="6"/>
  <c r="M360" i="6"/>
  <c r="N360" i="6"/>
  <c r="J361" i="6"/>
  <c r="K361" i="6"/>
  <c r="L361" i="6"/>
  <c r="M361" i="6"/>
  <c r="N361" i="6"/>
  <c r="J362" i="6"/>
  <c r="K362" i="6"/>
  <c r="L362" i="6"/>
  <c r="M362" i="6"/>
  <c r="N362" i="6"/>
  <c r="J374" i="6"/>
  <c r="K374" i="6"/>
  <c r="L374" i="6"/>
  <c r="M374" i="6"/>
  <c r="N374" i="6"/>
  <c r="D385" i="6"/>
  <c r="J385" i="6"/>
  <c r="K385" i="6"/>
  <c r="L385" i="6"/>
  <c r="M385" i="6"/>
  <c r="N385" i="6"/>
  <c r="N389" i="6"/>
  <c r="D386" i="6"/>
  <c r="J386" i="6"/>
  <c r="K386" i="6"/>
  <c r="L386" i="6"/>
  <c r="L389" i="6"/>
  <c r="M386" i="6"/>
  <c r="N386" i="6"/>
  <c r="D387" i="6"/>
  <c r="J387" i="6"/>
  <c r="K387" i="6"/>
  <c r="L387" i="6"/>
  <c r="M387" i="6"/>
  <c r="N387" i="6"/>
  <c r="D388" i="6"/>
  <c r="E388" i="6"/>
  <c r="F388" i="6"/>
  <c r="J388" i="6"/>
  <c r="K388" i="6"/>
  <c r="E414" i="6"/>
  <c r="L388" i="6"/>
  <c r="M388" i="6"/>
  <c r="N388" i="6"/>
  <c r="D391" i="6"/>
  <c r="D417" i="6"/>
  <c r="D392" i="6"/>
  <c r="D393" i="6"/>
  <c r="E393" i="6"/>
  <c r="D394" i="6"/>
  <c r="J395" i="6"/>
  <c r="K395" i="6"/>
  <c r="L395" i="6"/>
  <c r="M395" i="6"/>
  <c r="N395" i="6"/>
  <c r="D398" i="6"/>
  <c r="D399" i="6"/>
  <c r="E399" i="6"/>
  <c r="E425" i="6"/>
  <c r="D402" i="6"/>
  <c r="D403" i="6"/>
  <c r="D404" i="6"/>
  <c r="D405" i="6"/>
  <c r="D406" i="6"/>
  <c r="D432" i="6"/>
  <c r="E406" i="6"/>
  <c r="F406" i="6"/>
  <c r="F432" i="6"/>
  <c r="J407" i="6"/>
  <c r="K407" i="6"/>
  <c r="L407" i="6"/>
  <c r="M407" i="6"/>
  <c r="N407" i="6"/>
  <c r="D419" i="6"/>
  <c r="D425" i="6"/>
  <c r="A5" i="8"/>
  <c r="F49" i="8"/>
  <c r="F52" i="8"/>
  <c r="F50" i="8"/>
  <c r="F51" i="8"/>
  <c r="D71" i="8"/>
  <c r="E71" i="8"/>
  <c r="F71" i="8"/>
  <c r="A91" i="8"/>
  <c r="F93" i="8"/>
  <c r="D95" i="8"/>
  <c r="D100" i="8"/>
  <c r="E100" i="8"/>
  <c r="F100" i="8"/>
  <c r="D101" i="8"/>
  <c r="E101" i="8"/>
  <c r="F101" i="8"/>
  <c r="A111" i="8"/>
  <c r="A114" i="8"/>
  <c r="A120" i="8"/>
  <c r="F122" i="8"/>
  <c r="F123" i="8"/>
  <c r="F150" i="8"/>
  <c r="F216" i="8"/>
  <c r="B99" i="12"/>
  <c r="D99" i="12"/>
  <c r="F124" i="8"/>
  <c r="F127" i="8"/>
  <c r="F160" i="8"/>
  <c r="F128" i="8"/>
  <c r="A136" i="8"/>
  <c r="F151" i="8"/>
  <c r="F181" i="8"/>
  <c r="F170" i="8"/>
  <c r="D179" i="8"/>
  <c r="A197" i="8"/>
  <c r="D245" i="8"/>
  <c r="D246" i="8"/>
  <c r="D247" i="8"/>
  <c r="D248" i="8"/>
  <c r="A259" i="8"/>
  <c r="A260" i="8"/>
  <c r="A261" i="8"/>
  <c r="D261" i="8"/>
  <c r="E261" i="8"/>
  <c r="F261" i="8"/>
  <c r="A262" i="8"/>
  <c r="A265" i="8"/>
  <c r="A266" i="8"/>
  <c r="A267" i="8"/>
  <c r="A268" i="8"/>
  <c r="A271" i="8"/>
  <c r="A272" i="8"/>
  <c r="A273" i="8"/>
  <c r="A274" i="8"/>
  <c r="A277" i="8"/>
  <c r="D277" i="8"/>
  <c r="A278" i="8"/>
  <c r="A279" i="8"/>
  <c r="A280" i="8"/>
  <c r="D4" i="12"/>
  <c r="E4" i="12"/>
  <c r="E201" i="12"/>
  <c r="F4" i="12"/>
  <c r="F155" i="12"/>
  <c r="G4" i="12"/>
  <c r="G213" i="12"/>
  <c r="H4" i="12"/>
  <c r="H29" i="12"/>
  <c r="I4" i="12"/>
  <c r="I59" i="12"/>
  <c r="J4" i="12"/>
  <c r="J19" i="12"/>
  <c r="K4" i="12"/>
  <c r="K169" i="12"/>
  <c r="L4" i="12"/>
  <c r="L29" i="12"/>
  <c r="M4" i="12"/>
  <c r="M213" i="12"/>
  <c r="N4" i="12"/>
  <c r="N189" i="12"/>
  <c r="O4" i="12"/>
  <c r="O237" i="12"/>
  <c r="P4" i="12"/>
  <c r="P29" i="12"/>
  <c r="Q4" i="12"/>
  <c r="Q111" i="12"/>
  <c r="R4" i="12"/>
  <c r="R39" i="12"/>
  <c r="S4" i="12"/>
  <c r="S213" i="12"/>
  <c r="T4" i="12"/>
  <c r="U4" i="12"/>
  <c r="U201" i="12"/>
  <c r="U125" i="12"/>
  <c r="V4" i="12"/>
  <c r="V81" i="12"/>
  <c r="W4" i="12"/>
  <c r="X4" i="12"/>
  <c r="X49" i="12"/>
  <c r="Y4" i="12"/>
  <c r="Y155" i="12"/>
  <c r="Z4" i="12"/>
  <c r="Z19" i="12"/>
  <c r="AA4" i="12"/>
  <c r="AA49" i="12"/>
  <c r="A19" i="12"/>
  <c r="D19" i="12"/>
  <c r="T19" i="12"/>
  <c r="A29" i="12"/>
  <c r="D29" i="12"/>
  <c r="G29" i="12"/>
  <c r="J29" i="12"/>
  <c r="T29" i="12"/>
  <c r="Z29" i="12"/>
  <c r="A38" i="12"/>
  <c r="A39" i="12"/>
  <c r="D39" i="12"/>
  <c r="J39" i="12"/>
  <c r="T39" i="12"/>
  <c r="Z39" i="12"/>
  <c r="A49" i="12"/>
  <c r="D49" i="12"/>
  <c r="J49" i="12"/>
  <c r="R49" i="12"/>
  <c r="T49" i="12"/>
  <c r="Z49" i="12"/>
  <c r="A59" i="12"/>
  <c r="D59" i="12"/>
  <c r="J59" i="12"/>
  <c r="T59" i="12"/>
  <c r="U59" i="12"/>
  <c r="Z59" i="12"/>
  <c r="A69" i="12"/>
  <c r="D69" i="12"/>
  <c r="J69" i="12"/>
  <c r="T69" i="12"/>
  <c r="U69" i="12"/>
  <c r="V69" i="12"/>
  <c r="A80" i="12"/>
  <c r="D81" i="12"/>
  <c r="J81" i="12"/>
  <c r="L81" i="12"/>
  <c r="T81" i="12"/>
  <c r="Z81" i="12"/>
  <c r="D87" i="12"/>
  <c r="C89" i="12"/>
  <c r="J87" i="12"/>
  <c r="T87" i="12"/>
  <c r="X87" i="12"/>
  <c r="Z87" i="12"/>
  <c r="A88" i="12"/>
  <c r="D95" i="12"/>
  <c r="J95" i="12"/>
  <c r="T95" i="12"/>
  <c r="X95" i="12"/>
  <c r="Z95" i="12"/>
  <c r="A96" i="12"/>
  <c r="C97" i="12"/>
  <c r="C98" i="12"/>
  <c r="C99" i="12"/>
  <c r="D103" i="12"/>
  <c r="J103" i="12"/>
  <c r="O103" i="12"/>
  <c r="R103" i="12"/>
  <c r="T103" i="12"/>
  <c r="Z103" i="12"/>
  <c r="A104" i="12"/>
  <c r="D111" i="12"/>
  <c r="I111" i="12"/>
  <c r="J111" i="12"/>
  <c r="T111" i="12"/>
  <c r="Z111" i="12"/>
  <c r="A112" i="12"/>
  <c r="A124" i="12"/>
  <c r="D125" i="12"/>
  <c r="J125" i="12"/>
  <c r="T125" i="12"/>
  <c r="X125" i="12"/>
  <c r="Z125" i="12"/>
  <c r="A131" i="12"/>
  <c r="D131" i="12"/>
  <c r="C134" i="12"/>
  <c r="J131" i="12"/>
  <c r="R131" i="12"/>
  <c r="T131" i="12"/>
  <c r="Z131" i="12"/>
  <c r="A132" i="12"/>
  <c r="D139" i="12"/>
  <c r="C143" i="12"/>
  <c r="J139" i="12"/>
  <c r="T139" i="12"/>
  <c r="X139" i="12"/>
  <c r="Z139" i="12"/>
  <c r="A140" i="12"/>
  <c r="D147" i="12"/>
  <c r="J147" i="12"/>
  <c r="Q147" i="12"/>
  <c r="T147" i="12"/>
  <c r="Z147" i="12"/>
  <c r="A148" i="12"/>
  <c r="C149" i="12"/>
  <c r="D155" i="12"/>
  <c r="C159" i="12"/>
  <c r="J155" i="12"/>
  <c r="R155" i="12"/>
  <c r="T155" i="12"/>
  <c r="Z155" i="12"/>
  <c r="A156" i="12"/>
  <c r="A168" i="12"/>
  <c r="D169" i="12"/>
  <c r="J169" i="12"/>
  <c r="P169" i="12"/>
  <c r="T169" i="12"/>
  <c r="X169" i="12"/>
  <c r="Z169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D179" i="12"/>
  <c r="J179" i="12"/>
  <c r="M179" i="12"/>
  <c r="T179" i="12"/>
  <c r="X179" i="12"/>
  <c r="Z179" i="12"/>
  <c r="A182" i="12"/>
  <c r="D189" i="12"/>
  <c r="J189" i="12"/>
  <c r="L189" i="12"/>
  <c r="T189" i="12"/>
  <c r="U189" i="12"/>
  <c r="Z189" i="12"/>
  <c r="A190" i="12"/>
  <c r="C191" i="12"/>
  <c r="C192" i="12"/>
  <c r="C193" i="12"/>
  <c r="C194" i="12"/>
  <c r="C195" i="12"/>
  <c r="C196" i="12"/>
  <c r="C197" i="12"/>
  <c r="D201" i="12"/>
  <c r="J201" i="12"/>
  <c r="L201" i="12"/>
  <c r="R201" i="12"/>
  <c r="S201" i="12"/>
  <c r="T201" i="12"/>
  <c r="X201" i="12"/>
  <c r="Z201" i="12"/>
  <c r="A202" i="12"/>
  <c r="C203" i="12"/>
  <c r="C204" i="12"/>
  <c r="C205" i="12"/>
  <c r="C206" i="12"/>
  <c r="C207" i="12"/>
  <c r="C208" i="12"/>
  <c r="C209" i="12"/>
  <c r="A213" i="12"/>
  <c r="D213" i="12"/>
  <c r="E213" i="12"/>
  <c r="J213" i="12"/>
  <c r="R213" i="12"/>
  <c r="T213" i="12"/>
  <c r="U213" i="12"/>
  <c r="Z213" i="12"/>
  <c r="A214" i="12"/>
  <c r="C215" i="12"/>
  <c r="C216" i="12"/>
  <c r="C217" i="12"/>
  <c r="C218" i="12"/>
  <c r="C219" i="12"/>
  <c r="C220" i="12"/>
  <c r="C221" i="12"/>
  <c r="D225" i="12"/>
  <c r="J225" i="12"/>
  <c r="R225" i="12"/>
  <c r="T225" i="12"/>
  <c r="Z225" i="12"/>
  <c r="A226" i="12"/>
  <c r="C227" i="12"/>
  <c r="C228" i="12"/>
  <c r="C229" i="12"/>
  <c r="C230" i="12"/>
  <c r="C231" i="12"/>
  <c r="C232" i="12"/>
  <c r="C233" i="12"/>
  <c r="D237" i="12"/>
  <c r="E237" i="12"/>
  <c r="J237" i="12"/>
  <c r="T237" i="12"/>
  <c r="U237" i="12"/>
  <c r="X237" i="12"/>
  <c r="Z237" i="12"/>
  <c r="A238" i="12"/>
  <c r="C239" i="12"/>
  <c r="C240" i="12"/>
  <c r="C241" i="12"/>
  <c r="C242" i="12"/>
  <c r="C243" i="12"/>
  <c r="C244" i="12"/>
  <c r="C245" i="12"/>
  <c r="D249" i="12"/>
  <c r="I249" i="12"/>
  <c r="J249" i="12"/>
  <c r="R249" i="12"/>
  <c r="T249" i="12"/>
  <c r="U249" i="12"/>
  <c r="Z249" i="12"/>
  <c r="A250" i="12"/>
  <c r="C251" i="12"/>
  <c r="C252" i="12"/>
  <c r="C253" i="12"/>
  <c r="C254" i="12"/>
  <c r="C255" i="12"/>
  <c r="C256" i="12"/>
  <c r="C257" i="12"/>
  <c r="A6" i="17"/>
  <c r="D6" i="17"/>
  <c r="A7" i="17"/>
  <c r="A9" i="17"/>
  <c r="D13" i="17"/>
  <c r="D54" i="17"/>
  <c r="E13" i="17"/>
  <c r="E54" i="17"/>
  <c r="F13" i="17"/>
  <c r="F54" i="17"/>
  <c r="G13" i="17"/>
  <c r="G54" i="17"/>
  <c r="H13" i="17"/>
  <c r="I13" i="17"/>
  <c r="J13" i="17"/>
  <c r="K13" i="17"/>
  <c r="K54" i="17"/>
  <c r="L13" i="17"/>
  <c r="L54" i="17"/>
  <c r="M13" i="17"/>
  <c r="M54" i="17"/>
  <c r="N13" i="17"/>
  <c r="N54" i="17"/>
  <c r="O13" i="17"/>
  <c r="O54" i="17"/>
  <c r="P13" i="17"/>
  <c r="P54" i="17"/>
  <c r="Q13" i="17"/>
  <c r="Q54" i="17"/>
  <c r="R13" i="17"/>
  <c r="S13" i="17"/>
  <c r="T13" i="17"/>
  <c r="T54" i="17"/>
  <c r="U13" i="17"/>
  <c r="U54" i="17"/>
  <c r="V13" i="17"/>
  <c r="V54" i="17"/>
  <c r="W13" i="17"/>
  <c r="W54" i="17"/>
  <c r="X13" i="17"/>
  <c r="X54" i="17"/>
  <c r="Y13" i="17"/>
  <c r="Y54" i="17"/>
  <c r="Z13" i="17"/>
  <c r="AA13" i="17"/>
  <c r="A16" i="17"/>
  <c r="A17" i="17"/>
  <c r="A19" i="17"/>
  <c r="A23" i="17"/>
  <c r="K26" i="17"/>
  <c r="K57" i="17"/>
  <c r="L26" i="17"/>
  <c r="M26" i="17"/>
  <c r="N26" i="17"/>
  <c r="O26" i="17"/>
  <c r="O57" i="17"/>
  <c r="P26" i="17"/>
  <c r="Q26" i="17"/>
  <c r="R26" i="17"/>
  <c r="S26" i="17"/>
  <c r="T26" i="17"/>
  <c r="U26" i="17"/>
  <c r="V26" i="17"/>
  <c r="V57" i="17"/>
  <c r="W26" i="17"/>
  <c r="X26" i="17"/>
  <c r="X57" i="17"/>
  <c r="Y26" i="17"/>
  <c r="Y57" i="17"/>
  <c r="Z26" i="17"/>
  <c r="AA26" i="17"/>
  <c r="A29" i="17"/>
  <c r="A30" i="17"/>
  <c r="A31" i="17"/>
  <c r="A32" i="17"/>
  <c r="K32" i="17"/>
  <c r="L32" i="17"/>
  <c r="L57" i="17"/>
  <c r="M32" i="17"/>
  <c r="N32" i="17"/>
  <c r="O32" i="17"/>
  <c r="P32" i="17"/>
  <c r="Q32" i="17"/>
  <c r="R32" i="17"/>
  <c r="S32" i="17"/>
  <c r="S57" i="17"/>
  <c r="T32" i="17"/>
  <c r="T57" i="17"/>
  <c r="U32" i="17"/>
  <c r="V32" i="17"/>
  <c r="W32" i="17"/>
  <c r="X32" i="17"/>
  <c r="Y32" i="17"/>
  <c r="Z32" i="17"/>
  <c r="AA32" i="17"/>
  <c r="A33" i="17"/>
  <c r="A36" i="17"/>
  <c r="A37" i="17"/>
  <c r="A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39" i="17"/>
  <c r="A41" i="17"/>
  <c r="A42" i="17"/>
  <c r="A43" i="17"/>
  <c r="A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45" i="17"/>
  <c r="A48" i="17"/>
  <c r="A49" i="17"/>
  <c r="A50" i="17"/>
  <c r="K50" i="17"/>
  <c r="L50" i="17"/>
  <c r="M50" i="17"/>
  <c r="N50" i="17"/>
  <c r="O50" i="17"/>
  <c r="P50" i="17"/>
  <c r="Q50" i="17"/>
  <c r="Q57" i="17"/>
  <c r="R50" i="17"/>
  <c r="S50" i="17"/>
  <c r="T50" i="17"/>
  <c r="U50" i="17"/>
  <c r="V50" i="17"/>
  <c r="W50" i="17"/>
  <c r="X50" i="17"/>
  <c r="Y50" i="17"/>
  <c r="Z50" i="17"/>
  <c r="AA50" i="17"/>
  <c r="A51" i="17"/>
  <c r="H54" i="17"/>
  <c r="I54" i="17"/>
  <c r="J54" i="17"/>
  <c r="R54" i="17"/>
  <c r="S54" i="17"/>
  <c r="Z54" i="17"/>
  <c r="AA54" i="17"/>
  <c r="A55" i="17"/>
  <c r="A56" i="17"/>
  <c r="A57" i="17"/>
  <c r="A58" i="17"/>
  <c r="D60" i="4"/>
  <c r="D8" i="14"/>
  <c r="D51" i="13"/>
  <c r="O74" i="4"/>
  <c r="O92" i="4"/>
  <c r="G34" i="14"/>
  <c r="G69" i="14"/>
  <c r="P114" i="4"/>
  <c r="M72" i="14"/>
  <c r="P116" i="4"/>
  <c r="M74" i="14"/>
  <c r="J75" i="4"/>
  <c r="H33" i="14"/>
  <c r="J77" i="4"/>
  <c r="H35" i="14"/>
  <c r="C6" i="13"/>
  <c r="A23" i="13"/>
  <c r="A24" i="13"/>
  <c r="D29" i="13"/>
  <c r="E29" i="13"/>
  <c r="F29" i="13"/>
  <c r="G29" i="13"/>
  <c r="H29" i="13"/>
  <c r="I29" i="13"/>
  <c r="J29" i="13"/>
  <c r="P29" i="13"/>
  <c r="Q29" i="13"/>
  <c r="R29" i="13"/>
  <c r="S29" i="13"/>
  <c r="T29" i="13"/>
  <c r="U29" i="13"/>
  <c r="V29" i="13"/>
  <c r="AA29" i="13"/>
  <c r="AB29" i="13"/>
  <c r="AC29" i="13"/>
  <c r="AD29" i="13"/>
  <c r="AE29" i="13"/>
  <c r="AF29" i="13"/>
  <c r="AG29" i="13"/>
  <c r="D43" i="13"/>
  <c r="E43" i="13"/>
  <c r="F43" i="13"/>
  <c r="G43" i="13"/>
  <c r="H43" i="13"/>
  <c r="I43" i="13"/>
  <c r="J43" i="13"/>
  <c r="D47" i="13"/>
  <c r="E47" i="13"/>
  <c r="F47" i="13"/>
  <c r="G47" i="13"/>
  <c r="H47" i="13"/>
  <c r="D48" i="13"/>
  <c r="E48" i="13"/>
  <c r="F48" i="13"/>
  <c r="G48" i="13"/>
  <c r="H48" i="13"/>
  <c r="D50" i="13"/>
  <c r="E50" i="13"/>
  <c r="F50" i="13"/>
  <c r="G50" i="13"/>
  <c r="H50" i="13"/>
  <c r="I50" i="13"/>
  <c r="J50" i="13"/>
  <c r="D62" i="13"/>
  <c r="E62" i="13"/>
  <c r="F62" i="13"/>
  <c r="G62" i="13"/>
  <c r="H62" i="13"/>
  <c r="I62" i="13"/>
  <c r="J62" i="13"/>
  <c r="A10" i="14"/>
  <c r="M27" i="14"/>
  <c r="S27" i="14"/>
  <c r="N27" i="14"/>
  <c r="T27" i="14"/>
  <c r="A29" i="14"/>
  <c r="G29" i="14"/>
  <c r="A30" i="14"/>
  <c r="A31" i="14"/>
  <c r="A32" i="14"/>
  <c r="A33" i="14"/>
  <c r="A34" i="14"/>
  <c r="A35" i="14"/>
  <c r="A36" i="14"/>
  <c r="A39" i="14"/>
  <c r="G39" i="14"/>
  <c r="A40" i="14"/>
  <c r="A41" i="14"/>
  <c r="A42" i="14"/>
  <c r="A43" i="14"/>
  <c r="A44" i="14"/>
  <c r="A45" i="14"/>
  <c r="A46" i="14"/>
  <c r="A49" i="14"/>
  <c r="G49" i="14"/>
  <c r="A50" i="14"/>
  <c r="A51" i="14"/>
  <c r="A52" i="14"/>
  <c r="A53" i="14"/>
  <c r="A54" i="14"/>
  <c r="A55" i="14"/>
  <c r="A56" i="14"/>
  <c r="A57" i="14"/>
  <c r="A58" i="14"/>
  <c r="A59" i="14"/>
  <c r="A60" i="14"/>
  <c r="A63" i="14"/>
  <c r="G63" i="14"/>
  <c r="A64" i="14"/>
  <c r="A65" i="14"/>
  <c r="A66" i="14"/>
  <c r="A67" i="14"/>
  <c r="A68" i="14"/>
  <c r="A69" i="14"/>
  <c r="A70" i="14"/>
  <c r="A71" i="14"/>
  <c r="A72" i="14"/>
  <c r="A73" i="14"/>
  <c r="A74" i="14"/>
  <c r="O1" i="4"/>
  <c r="O67" i="4"/>
  <c r="P1" i="4"/>
  <c r="Q1" i="4"/>
  <c r="Q67" i="4"/>
  <c r="O3" i="4"/>
  <c r="O68" i="4"/>
  <c r="P3" i="4"/>
  <c r="P68" i="4"/>
  <c r="Q3" i="4"/>
  <c r="Q68" i="4"/>
  <c r="G7" i="4"/>
  <c r="H7" i="4"/>
  <c r="I7" i="4"/>
  <c r="J7" i="4"/>
  <c r="D8" i="4"/>
  <c r="E8" i="4"/>
  <c r="F8" i="4"/>
  <c r="G8" i="4"/>
  <c r="H8" i="4"/>
  <c r="I8" i="4"/>
  <c r="J8" i="4"/>
  <c r="D9" i="4"/>
  <c r="E9" i="4"/>
  <c r="F9" i="4"/>
  <c r="G9" i="4"/>
  <c r="H9" i="4"/>
  <c r="I9" i="4"/>
  <c r="J9" i="4"/>
  <c r="C10" i="4"/>
  <c r="C11" i="4"/>
  <c r="C11" i="19"/>
  <c r="A12" i="4"/>
  <c r="A45" i="4"/>
  <c r="C12" i="4"/>
  <c r="C12" i="19"/>
  <c r="A13" i="4"/>
  <c r="C13" i="4"/>
  <c r="C13" i="19"/>
  <c r="A14" i="4"/>
  <c r="C14" i="4"/>
  <c r="C14" i="19"/>
  <c r="A15" i="4"/>
  <c r="C15" i="4"/>
  <c r="G19" i="4"/>
  <c r="H19" i="4"/>
  <c r="I19" i="4"/>
  <c r="J19" i="4"/>
  <c r="D20" i="4"/>
  <c r="E20" i="4"/>
  <c r="F20" i="4"/>
  <c r="G20" i="4"/>
  <c r="H20" i="4"/>
  <c r="I20" i="4"/>
  <c r="J20" i="4"/>
  <c r="D21" i="4"/>
  <c r="E21" i="4"/>
  <c r="F21" i="4"/>
  <c r="G21" i="4"/>
  <c r="H21" i="4"/>
  <c r="I21" i="4"/>
  <c r="J21" i="4"/>
  <c r="A22" i="4"/>
  <c r="A23" i="4"/>
  <c r="A25" i="4"/>
  <c r="C25" i="4"/>
  <c r="C25" i="19"/>
  <c r="A26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A34" i="4"/>
  <c r="A35" i="4"/>
  <c r="A38" i="4"/>
  <c r="A43" i="4"/>
  <c r="A44" i="4"/>
  <c r="A47" i="4"/>
  <c r="G52" i="4"/>
  <c r="H52" i="4"/>
  <c r="I52" i="4"/>
  <c r="J52" i="4"/>
  <c r="D53" i="4"/>
  <c r="E53" i="4"/>
  <c r="F53" i="4"/>
  <c r="G53" i="4"/>
  <c r="H53" i="4"/>
  <c r="I53" i="4"/>
  <c r="J53" i="4"/>
  <c r="D54" i="4"/>
  <c r="E54" i="4"/>
  <c r="F54" i="4"/>
  <c r="G54" i="4"/>
  <c r="H54" i="4"/>
  <c r="I54" i="4"/>
  <c r="J54" i="4"/>
  <c r="D58" i="4"/>
  <c r="E58" i="4"/>
  <c r="F58" i="4"/>
  <c r="G58" i="4"/>
  <c r="H58" i="4"/>
  <c r="I58" i="4"/>
  <c r="J58" i="4"/>
  <c r="E67" i="4"/>
  <c r="F67" i="4"/>
  <c r="G67" i="4"/>
  <c r="H67" i="4"/>
  <c r="I67" i="4"/>
  <c r="J67" i="4"/>
  <c r="P67" i="4"/>
  <c r="E98" i="4"/>
  <c r="F98" i="4"/>
  <c r="E99" i="4"/>
  <c r="F99" i="4"/>
  <c r="E100" i="4"/>
  <c r="F100" i="4"/>
  <c r="E101" i="4"/>
  <c r="F101" i="4"/>
  <c r="E102" i="4"/>
  <c r="F102" i="4"/>
  <c r="C128" i="4"/>
  <c r="C7" i="13"/>
  <c r="C131" i="4"/>
  <c r="C8" i="13"/>
  <c r="C132" i="4"/>
  <c r="C9" i="13"/>
  <c r="C133" i="4"/>
  <c r="C134" i="4"/>
  <c r="D142" i="4"/>
  <c r="E142" i="4"/>
  <c r="F142" i="4"/>
  <c r="G142" i="4"/>
  <c r="H142" i="4"/>
  <c r="I142" i="4"/>
  <c r="J142" i="4"/>
  <c r="M143" i="4"/>
  <c r="M144" i="4"/>
  <c r="N146" i="4"/>
  <c r="F144" i="4"/>
  <c r="C162" i="4"/>
  <c r="C22" i="4"/>
  <c r="C22" i="19"/>
  <c r="C163" i="4"/>
  <c r="C23" i="4"/>
  <c r="C23" i="19"/>
  <c r="A164" i="4"/>
  <c r="A96" i="3"/>
  <c r="A35" i="17"/>
  <c r="C164" i="4"/>
  <c r="D8" i="17"/>
  <c r="C24" i="4"/>
  <c r="C24" i="19"/>
  <c r="C165" i="4"/>
  <c r="D9" i="17"/>
  <c r="A166" i="4"/>
  <c r="C166" i="4"/>
  <c r="D10" i="17"/>
  <c r="D169" i="4"/>
  <c r="E169" i="4"/>
  <c r="F169" i="4"/>
  <c r="G169" i="4"/>
  <c r="H169" i="4"/>
  <c r="I169" i="4"/>
  <c r="J169" i="4"/>
  <c r="D7" i="19"/>
  <c r="E7" i="19"/>
  <c r="F7" i="19"/>
  <c r="G7" i="19"/>
  <c r="H7" i="19"/>
  <c r="I7" i="19"/>
  <c r="J7" i="19"/>
  <c r="D8" i="19"/>
  <c r="E8" i="19"/>
  <c r="F8" i="19"/>
  <c r="G8" i="19"/>
  <c r="H8" i="19"/>
  <c r="I8" i="19"/>
  <c r="J8" i="19"/>
  <c r="D9" i="19"/>
  <c r="E9" i="19"/>
  <c r="F9" i="19"/>
  <c r="G9" i="19"/>
  <c r="H9" i="19"/>
  <c r="I9" i="19"/>
  <c r="J9" i="19"/>
  <c r="C10" i="19"/>
  <c r="C15" i="19"/>
  <c r="D16" i="19"/>
  <c r="E16" i="19"/>
  <c r="F16" i="19"/>
  <c r="G16" i="19"/>
  <c r="H16" i="19"/>
  <c r="I16" i="19"/>
  <c r="J16" i="19"/>
  <c r="D19" i="19"/>
  <c r="E19" i="19"/>
  <c r="F19" i="19"/>
  <c r="G19" i="19"/>
  <c r="H19" i="19"/>
  <c r="I19" i="19"/>
  <c r="J19" i="19"/>
  <c r="D20" i="19"/>
  <c r="E20" i="19"/>
  <c r="F20" i="19"/>
  <c r="G20" i="19"/>
  <c r="H20" i="19"/>
  <c r="I20" i="19"/>
  <c r="J20" i="19"/>
  <c r="D21" i="19"/>
  <c r="E21" i="19"/>
  <c r="F21" i="19"/>
  <c r="G21" i="19"/>
  <c r="H21" i="19"/>
  <c r="I21" i="19"/>
  <c r="J21" i="19"/>
  <c r="D22" i="19"/>
  <c r="E22" i="19"/>
  <c r="F22" i="19"/>
  <c r="G22" i="19"/>
  <c r="H22" i="19"/>
  <c r="I22" i="19"/>
  <c r="J22" i="19"/>
  <c r="D24" i="19"/>
  <c r="E24" i="19"/>
  <c r="F24" i="19"/>
  <c r="G24" i="19"/>
  <c r="H24" i="19"/>
  <c r="I24" i="19"/>
  <c r="J24" i="19"/>
  <c r="D25" i="19"/>
  <c r="E25" i="19"/>
  <c r="F25" i="19"/>
  <c r="G25" i="19"/>
  <c r="H25" i="19"/>
  <c r="I25" i="19"/>
  <c r="J25" i="19"/>
  <c r="D26" i="19"/>
  <c r="E26" i="19"/>
  <c r="F26" i="19"/>
  <c r="G26" i="19"/>
  <c r="H26" i="19"/>
  <c r="I26" i="19"/>
  <c r="J26" i="19"/>
  <c r="J27" i="19"/>
  <c r="D30" i="19"/>
  <c r="E30" i="19"/>
  <c r="F30" i="19"/>
  <c r="G30" i="19"/>
  <c r="H30" i="19"/>
  <c r="I30" i="19"/>
  <c r="J30" i="19"/>
  <c r="D31" i="19"/>
  <c r="E31" i="19"/>
  <c r="F31" i="19"/>
  <c r="G31" i="19"/>
  <c r="H31" i="19"/>
  <c r="I31" i="19"/>
  <c r="J31" i="19"/>
  <c r="D32" i="19"/>
  <c r="E32" i="19"/>
  <c r="F32" i="19"/>
  <c r="G32" i="19"/>
  <c r="H32" i="19"/>
  <c r="I32" i="19"/>
  <c r="J32" i="19"/>
  <c r="D40" i="19"/>
  <c r="E40" i="19"/>
  <c r="F40" i="19"/>
  <c r="G40" i="19"/>
  <c r="H40" i="19"/>
  <c r="I40" i="19"/>
  <c r="J40" i="19"/>
  <c r="D49" i="19"/>
  <c r="E49" i="19"/>
  <c r="F49" i="19"/>
  <c r="G49" i="19"/>
  <c r="H49" i="19"/>
  <c r="I49" i="19"/>
  <c r="J49" i="19"/>
  <c r="D52" i="19"/>
  <c r="E52" i="19"/>
  <c r="F52" i="19"/>
  <c r="G52" i="19"/>
  <c r="H52" i="19"/>
  <c r="I52" i="19"/>
  <c r="J52" i="19"/>
  <c r="D53" i="19"/>
  <c r="E53" i="19"/>
  <c r="F53" i="19"/>
  <c r="G53" i="19"/>
  <c r="H53" i="19"/>
  <c r="I53" i="19"/>
  <c r="J53" i="19"/>
  <c r="D54" i="19"/>
  <c r="E54" i="19"/>
  <c r="F54" i="19"/>
  <c r="G54" i="19"/>
  <c r="H54" i="19"/>
  <c r="I54" i="19"/>
  <c r="J54" i="19"/>
  <c r="D58" i="19"/>
  <c r="E58" i="19"/>
  <c r="F58" i="19"/>
  <c r="G58" i="19"/>
  <c r="H58" i="19"/>
  <c r="I58" i="19"/>
  <c r="J58" i="19"/>
  <c r="A1" i="3"/>
  <c r="A10" i="3"/>
  <c r="A11" i="3"/>
  <c r="A12" i="3"/>
  <c r="A13" i="3"/>
  <c r="D14" i="3"/>
  <c r="E14" i="3"/>
  <c r="F14" i="3"/>
  <c r="A19" i="3"/>
  <c r="C19" i="3"/>
  <c r="D19" i="3"/>
  <c r="E19" i="3"/>
  <c r="E255" i="8"/>
  <c r="E279" i="8"/>
  <c r="F19" i="3"/>
  <c r="F255" i="8"/>
  <c r="A20" i="3"/>
  <c r="C20" i="3"/>
  <c r="A21" i="3"/>
  <c r="C21" i="3"/>
  <c r="D21" i="3"/>
  <c r="D267" i="8"/>
  <c r="D266" i="8"/>
  <c r="D268" i="8"/>
  <c r="E265" i="8"/>
  <c r="E266" i="8"/>
  <c r="E21" i="3"/>
  <c r="E267" i="8"/>
  <c r="F21" i="3"/>
  <c r="F267" i="8"/>
  <c r="A22" i="3"/>
  <c r="C22" i="3"/>
  <c r="D22" i="3"/>
  <c r="D273" i="8"/>
  <c r="D272" i="8"/>
  <c r="D274" i="8"/>
  <c r="E271" i="8"/>
  <c r="E272" i="8"/>
  <c r="E22" i="3"/>
  <c r="E273" i="8"/>
  <c r="F22" i="3"/>
  <c r="F273" i="8"/>
  <c r="D42" i="3"/>
  <c r="E42" i="3"/>
  <c r="F42" i="3"/>
  <c r="D48" i="3"/>
  <c r="E48" i="3"/>
  <c r="E50" i="3"/>
  <c r="F48" i="3"/>
  <c r="F50" i="3"/>
  <c r="D53" i="3"/>
  <c r="E53" i="3"/>
  <c r="F53" i="3"/>
  <c r="A84" i="3"/>
  <c r="C84" i="3"/>
  <c r="C85" i="3"/>
  <c r="C86" i="3"/>
  <c r="C87" i="3"/>
  <c r="D88" i="3"/>
  <c r="E88" i="3"/>
  <c r="F88" i="3"/>
  <c r="F118" i="3"/>
  <c r="A94" i="3"/>
  <c r="C94" i="3"/>
  <c r="D94" i="3"/>
  <c r="D99" i="3"/>
  <c r="E94" i="3"/>
  <c r="F94" i="3"/>
  <c r="A95" i="3"/>
  <c r="C96" i="3"/>
  <c r="D96" i="3"/>
  <c r="E96" i="3"/>
  <c r="F96" i="3"/>
  <c r="A97" i="3"/>
  <c r="C97" i="3"/>
  <c r="D97" i="3"/>
  <c r="E97" i="3"/>
  <c r="F97" i="3"/>
  <c r="D98" i="3"/>
  <c r="E98" i="3"/>
  <c r="F98" i="3"/>
  <c r="D115" i="3"/>
  <c r="E115" i="3"/>
  <c r="F115" i="3"/>
  <c r="F15" i="8"/>
  <c r="C136" i="3"/>
  <c r="C138" i="3"/>
  <c r="C139" i="3"/>
  <c r="F146" i="3"/>
  <c r="F147" i="3"/>
  <c r="C155" i="3"/>
  <c r="F148" i="3"/>
  <c r="D155" i="3"/>
  <c r="D4" i="8"/>
  <c r="F149" i="3"/>
  <c r="E155" i="3"/>
  <c r="F150" i="3"/>
  <c r="F151" i="3"/>
  <c r="D144" i="4"/>
  <c r="G4" i="8"/>
  <c r="C153" i="3"/>
  <c r="D153" i="3"/>
  <c r="E153" i="3"/>
  <c r="F153" i="3"/>
  <c r="B155" i="3"/>
  <c r="F155" i="3"/>
  <c r="E156" i="3"/>
  <c r="F4" i="8"/>
  <c r="C161" i="3"/>
  <c r="C10" i="3"/>
  <c r="C162" i="3"/>
  <c r="C163" i="3"/>
  <c r="C164" i="3"/>
  <c r="C13" i="3"/>
  <c r="C170" i="3"/>
  <c r="D97" i="8"/>
  <c r="C171" i="3"/>
  <c r="D96" i="8"/>
  <c r="A92" i="8"/>
  <c r="D185" i="3"/>
  <c r="D196" i="3"/>
  <c r="F196" i="3"/>
  <c r="D197" i="3"/>
  <c r="D198" i="3"/>
  <c r="D205" i="3"/>
  <c r="E205" i="3"/>
  <c r="F205" i="3"/>
  <c r="D208" i="3"/>
  <c r="E208" i="3"/>
  <c r="F208" i="3"/>
  <c r="D209" i="3"/>
  <c r="E209" i="3"/>
  <c r="F209" i="3"/>
  <c r="D210" i="3"/>
  <c r="E210" i="3"/>
  <c r="F210" i="3"/>
  <c r="D211" i="3"/>
  <c r="E211" i="3"/>
  <c r="F211" i="3"/>
  <c r="D213" i="3"/>
  <c r="E213" i="3"/>
  <c r="F213" i="3"/>
  <c r="D218" i="3"/>
  <c r="E218" i="3"/>
  <c r="F218" i="3"/>
  <c r="F190" i="3"/>
  <c r="D222" i="3"/>
  <c r="E222" i="3"/>
  <c r="F222" i="3"/>
  <c r="D223" i="3"/>
  <c r="E223" i="3"/>
  <c r="F223" i="3"/>
  <c r="D224" i="3"/>
  <c r="E224" i="3"/>
  <c r="F224" i="3"/>
  <c r="D225" i="3"/>
  <c r="E225" i="3"/>
  <c r="F225" i="3"/>
  <c r="P1" i="16"/>
  <c r="P67" i="16"/>
  <c r="Q1" i="16"/>
  <c r="Q67" i="16"/>
  <c r="P3" i="16"/>
  <c r="P68" i="16"/>
  <c r="Q3" i="16"/>
  <c r="Q68" i="16"/>
  <c r="H7" i="16"/>
  <c r="I7" i="16"/>
  <c r="J7" i="16"/>
  <c r="H8" i="16"/>
  <c r="I8" i="16"/>
  <c r="J8" i="16"/>
  <c r="H9" i="16"/>
  <c r="I9" i="16"/>
  <c r="J9" i="16"/>
  <c r="H19" i="16"/>
  <c r="I19" i="16"/>
  <c r="J19" i="16"/>
  <c r="H20" i="16"/>
  <c r="I20" i="16"/>
  <c r="J20" i="16"/>
  <c r="H21" i="16"/>
  <c r="I21" i="16"/>
  <c r="J21" i="16"/>
  <c r="H30" i="16"/>
  <c r="I30" i="16"/>
  <c r="J30" i="16"/>
  <c r="H31" i="16"/>
  <c r="I31" i="16"/>
  <c r="J31" i="16"/>
  <c r="H32" i="16"/>
  <c r="I32" i="16"/>
  <c r="J32" i="16"/>
  <c r="H52" i="16"/>
  <c r="I52" i="16"/>
  <c r="J52" i="16"/>
  <c r="H53" i="16"/>
  <c r="I53" i="16"/>
  <c r="J53" i="16"/>
  <c r="H54" i="16"/>
  <c r="I54" i="16"/>
  <c r="J54" i="16"/>
  <c r="H58" i="16"/>
  <c r="I58" i="16"/>
  <c r="J58" i="16"/>
  <c r="I67" i="16"/>
  <c r="J67" i="16"/>
  <c r="E72" i="12"/>
  <c r="D190" i="3"/>
  <c r="D24" i="4"/>
  <c r="D18" i="17"/>
  <c r="D38" i="17"/>
  <c r="D72" i="12"/>
  <c r="D63" i="12"/>
  <c r="D31" i="12"/>
  <c r="D33" i="12"/>
  <c r="N144" i="4"/>
  <c r="E190" i="3"/>
  <c r="D22" i="13"/>
  <c r="P57" i="17"/>
  <c r="A46" i="4"/>
  <c r="A37" i="4"/>
  <c r="G63" i="12"/>
  <c r="E32" i="12"/>
  <c r="E53" i="12"/>
  <c r="G42" i="12"/>
  <c r="AA57" i="17"/>
  <c r="D192" i="3"/>
  <c r="F23" i="3"/>
  <c r="I4" i="8"/>
  <c r="F22" i="13"/>
  <c r="A10" i="17"/>
  <c r="A20" i="17"/>
  <c r="A47" i="17"/>
  <c r="A98" i="3"/>
  <c r="E193" i="8"/>
  <c r="C231" i="8"/>
  <c r="D193" i="8"/>
  <c r="C230" i="8"/>
  <c r="F193" i="8"/>
  <c r="C232" i="8"/>
  <c r="E23" i="3"/>
  <c r="M57" i="17"/>
  <c r="I27" i="19"/>
  <c r="D145" i="4"/>
  <c r="C16" i="13"/>
  <c r="W69" i="12"/>
  <c r="W39" i="12"/>
  <c r="W19" i="12"/>
  <c r="W125" i="12"/>
  <c r="W111" i="12"/>
  <c r="W103" i="12"/>
  <c r="W201" i="12"/>
  <c r="O69" i="12"/>
  <c r="O201" i="12"/>
  <c r="O87" i="12"/>
  <c r="O169" i="12"/>
  <c r="O249" i="12"/>
  <c r="G189" i="12"/>
  <c r="F72" i="12"/>
  <c r="Z57" i="17"/>
  <c r="R57" i="17"/>
  <c r="A8" i="17"/>
  <c r="W155" i="12"/>
  <c r="D90" i="8"/>
  <c r="F90" i="8"/>
  <c r="W179" i="12"/>
  <c r="G179" i="12"/>
  <c r="W139" i="12"/>
  <c r="E191" i="8"/>
  <c r="C215" i="8"/>
  <c r="F191" i="8"/>
  <c r="C216" i="8"/>
  <c r="D191" i="8"/>
  <c r="C214" i="8"/>
  <c r="C11" i="3"/>
  <c r="F190" i="8"/>
  <c r="C208" i="8"/>
  <c r="D190" i="8"/>
  <c r="C206" i="8"/>
  <c r="A24" i="4"/>
  <c r="W131" i="12"/>
  <c r="O81" i="12"/>
  <c r="E190" i="8"/>
  <c r="C207" i="8"/>
  <c r="U81" i="12"/>
  <c r="U131" i="12"/>
  <c r="U139" i="12"/>
  <c r="U147" i="12"/>
  <c r="U103" i="12"/>
  <c r="U49" i="12"/>
  <c r="M155" i="12"/>
  <c r="M19" i="12"/>
  <c r="E155" i="12"/>
  <c r="E87" i="12"/>
  <c r="E95" i="12"/>
  <c r="E125" i="12"/>
  <c r="S49" i="12"/>
  <c r="K49" i="12"/>
  <c r="K87" i="12"/>
  <c r="K95" i="12"/>
  <c r="K111" i="12"/>
  <c r="K81" i="12"/>
  <c r="K29" i="12"/>
  <c r="K131" i="12"/>
  <c r="K139" i="12"/>
  <c r="K147" i="12"/>
  <c r="Q95" i="12"/>
  <c r="I95" i="12"/>
  <c r="Z69" i="12"/>
  <c r="Q69" i="12"/>
  <c r="G170" i="6"/>
  <c r="G241" i="6"/>
  <c r="D296" i="6"/>
  <c r="D295" i="6"/>
  <c r="D160" i="6"/>
  <c r="G228" i="6"/>
  <c r="E71" i="6"/>
  <c r="D80" i="6"/>
  <c r="D36" i="6"/>
  <c r="F209" i="6"/>
  <c r="H209" i="6"/>
  <c r="G209" i="6"/>
  <c r="F170" i="6"/>
  <c r="K389" i="6"/>
  <c r="E419" i="6"/>
  <c r="F393" i="6"/>
  <c r="E80" i="6"/>
  <c r="E36" i="6"/>
  <c r="G110" i="6"/>
  <c r="G112" i="6"/>
  <c r="E208" i="6"/>
  <c r="F208" i="6"/>
  <c r="G208" i="6"/>
  <c r="D208" i="6"/>
  <c r="D215" i="6"/>
  <c r="D142" i="6"/>
  <c r="E404" i="6"/>
  <c r="D430" i="6"/>
  <c r="G238" i="6"/>
  <c r="G245" i="6"/>
  <c r="G172" i="6"/>
  <c r="E238" i="6"/>
  <c r="E245" i="6"/>
  <c r="E172" i="6"/>
  <c r="D238" i="6"/>
  <c r="D245" i="6"/>
  <c r="D172" i="6"/>
  <c r="D173" i="6"/>
  <c r="F238" i="6"/>
  <c r="H238" i="6"/>
  <c r="F399" i="6"/>
  <c r="G399" i="6"/>
  <c r="M389" i="6"/>
  <c r="D110" i="6"/>
  <c r="D112" i="6"/>
  <c r="D114" i="6"/>
  <c r="H239" i="6"/>
  <c r="G239" i="6"/>
  <c r="E274" i="6"/>
  <c r="E262" i="6"/>
  <c r="D130" i="6"/>
  <c r="D8" i="6"/>
  <c r="D17" i="6"/>
  <c r="F125" i="6"/>
  <c r="F130" i="6"/>
  <c r="F8" i="6"/>
  <c r="F17" i="6"/>
  <c r="F140" i="6"/>
  <c r="F263" i="6"/>
  <c r="E432" i="6"/>
  <c r="E403" i="6"/>
  <c r="D429" i="6"/>
  <c r="E394" i="6"/>
  <c r="D420" i="6"/>
  <c r="D262" i="6"/>
  <c r="D297" i="6"/>
  <c r="E294" i="6"/>
  <c r="G240" i="6"/>
  <c r="H240" i="6"/>
  <c r="E110" i="6"/>
  <c r="E112" i="6"/>
  <c r="E114" i="6"/>
  <c r="G220" i="6"/>
  <c r="E218" i="6"/>
  <c r="E386" i="6"/>
  <c r="F386" i="6"/>
  <c r="D412" i="6"/>
  <c r="G125" i="6"/>
  <c r="G150" i="6"/>
  <c r="F220" i="6"/>
  <c r="F394" i="6"/>
  <c r="E420" i="6"/>
  <c r="E51" i="8"/>
  <c r="E122" i="8"/>
  <c r="E50" i="8"/>
  <c r="E124" i="8"/>
  <c r="E123" i="8"/>
  <c r="E128" i="8"/>
  <c r="E93" i="8"/>
  <c r="F261" i="6"/>
  <c r="D22" i="12"/>
  <c r="E430" i="6"/>
  <c r="F404" i="6"/>
  <c r="F425" i="6"/>
  <c r="F403" i="6"/>
  <c r="F429" i="6"/>
  <c r="E429" i="6"/>
  <c r="F419" i="6"/>
  <c r="G393" i="6"/>
  <c r="G406" i="6"/>
  <c r="F180" i="6"/>
  <c r="H210" i="6"/>
  <c r="F210" i="6"/>
  <c r="E185" i="3"/>
  <c r="G221" i="6"/>
  <c r="H221" i="6"/>
  <c r="G210" i="6"/>
  <c r="F245" i="6"/>
  <c r="F172" i="6"/>
  <c r="F215" i="6"/>
  <c r="F142" i="6"/>
  <c r="G403" i="6"/>
  <c r="G429" i="6"/>
  <c r="E170" i="8"/>
  <c r="H393" i="6"/>
  <c r="H419" i="6"/>
  <c r="G419" i="6"/>
  <c r="G394" i="6"/>
  <c r="F420" i="6"/>
  <c r="H403" i="6"/>
  <c r="H429" i="6"/>
  <c r="Q102" i="4"/>
  <c r="N60" i="14"/>
  <c r="O101" i="4"/>
  <c r="Q99" i="4"/>
  <c r="N57" i="14"/>
  <c r="P99" i="4"/>
  <c r="M57" i="14"/>
  <c r="Q98" i="4"/>
  <c r="N56" i="14"/>
  <c r="P102" i="4"/>
  <c r="M60" i="14"/>
  <c r="O99" i="4"/>
  <c r="O98" i="4"/>
  <c r="P100" i="4"/>
  <c r="M58" i="14"/>
  <c r="Q101" i="4"/>
  <c r="N59" i="14"/>
  <c r="P101" i="4"/>
  <c r="M59" i="14"/>
  <c r="Q100" i="4"/>
  <c r="N58" i="14"/>
  <c r="P98" i="4"/>
  <c r="M56" i="14"/>
  <c r="O102" i="4"/>
  <c r="O100" i="4"/>
  <c r="I7" i="13"/>
  <c r="I9" i="13"/>
  <c r="I6" i="13"/>
  <c r="I8" i="13"/>
  <c r="I139" i="4"/>
  <c r="AD32" i="13"/>
  <c r="H25" i="16"/>
  <c r="E31" i="12"/>
  <c r="F25" i="4"/>
  <c r="E25" i="4"/>
  <c r="E8" i="14"/>
  <c r="E51" i="13"/>
  <c r="F41" i="12"/>
  <c r="D27" i="19"/>
  <c r="G27" i="19"/>
  <c r="F27" i="19"/>
  <c r="C14" i="13"/>
  <c r="F279" i="8"/>
  <c r="E150" i="8"/>
  <c r="P225" i="12"/>
  <c r="V213" i="12"/>
  <c r="I179" i="12"/>
  <c r="P155" i="12"/>
  <c r="V59" i="12"/>
  <c r="O179" i="12"/>
  <c r="O155" i="12"/>
  <c r="O189" i="12"/>
  <c r="O225" i="12"/>
  <c r="I169" i="12"/>
  <c r="P147" i="12"/>
  <c r="P139" i="12"/>
  <c r="I103" i="12"/>
  <c r="V49" i="12"/>
  <c r="S131" i="12"/>
  <c r="E19" i="12"/>
  <c r="U111" i="12"/>
  <c r="U19" i="12"/>
  <c r="O147" i="12"/>
  <c r="O125" i="12"/>
  <c r="L225" i="12"/>
  <c r="P201" i="12"/>
  <c r="P189" i="12"/>
  <c r="U179" i="12"/>
  <c r="I155" i="12"/>
  <c r="L139" i="12"/>
  <c r="V111" i="12"/>
  <c r="P95" i="12"/>
  <c r="P81" i="12"/>
  <c r="P69" i="12"/>
  <c r="I237" i="12"/>
  <c r="I147" i="12"/>
  <c r="P125" i="12"/>
  <c r="V29" i="12"/>
  <c r="I19" i="12"/>
  <c r="E49" i="12"/>
  <c r="U95" i="12"/>
  <c r="U39" i="12"/>
  <c r="G155" i="12"/>
  <c r="O131" i="12"/>
  <c r="O49" i="12"/>
  <c r="P249" i="12"/>
  <c r="V225" i="12"/>
  <c r="I225" i="12"/>
  <c r="P213" i="12"/>
  <c r="P179" i="12"/>
  <c r="I139" i="12"/>
  <c r="P111" i="12"/>
  <c r="N87" i="12"/>
  <c r="I69" i="12"/>
  <c r="L59" i="12"/>
  <c r="P49" i="12"/>
  <c r="L39" i="12"/>
  <c r="N19" i="12"/>
  <c r="X29" i="12"/>
  <c r="R19" i="12"/>
  <c r="V131" i="12"/>
  <c r="O139" i="12"/>
  <c r="P59" i="12"/>
  <c r="P39" i="12"/>
  <c r="AA147" i="12"/>
  <c r="I87" i="12"/>
  <c r="E81" i="12"/>
  <c r="U87" i="12"/>
  <c r="G39" i="12"/>
  <c r="O95" i="12"/>
  <c r="O39" i="12"/>
  <c r="L249" i="12"/>
  <c r="P237" i="12"/>
  <c r="U225" i="12"/>
  <c r="E225" i="12"/>
  <c r="O213" i="12"/>
  <c r="I201" i="12"/>
  <c r="I189" i="12"/>
  <c r="U169" i="12"/>
  <c r="I131" i="12"/>
  <c r="I125" i="12"/>
  <c r="L111" i="12"/>
  <c r="C91" i="12"/>
  <c r="L87" i="12"/>
  <c r="L19" i="12"/>
  <c r="I213" i="12"/>
  <c r="I81" i="12"/>
  <c r="O29" i="12"/>
  <c r="P131" i="12"/>
  <c r="V103" i="12"/>
  <c r="P87" i="12"/>
  <c r="P19" i="12"/>
  <c r="Y87" i="12"/>
  <c r="U29" i="12"/>
  <c r="E39" i="12"/>
  <c r="U155" i="12"/>
  <c r="O19" i="12"/>
  <c r="G59" i="12"/>
  <c r="O111" i="12"/>
  <c r="O59" i="12"/>
  <c r="L213" i="12"/>
  <c r="L179" i="12"/>
  <c r="P103" i="12"/>
  <c r="C90" i="12"/>
  <c r="I49" i="12"/>
  <c r="I39" i="12"/>
  <c r="I29" i="12"/>
  <c r="Y179" i="12"/>
  <c r="N169" i="12"/>
  <c r="N81" i="12"/>
  <c r="N59" i="12"/>
  <c r="N237" i="12"/>
  <c r="Y189" i="12"/>
  <c r="M169" i="12"/>
  <c r="C158" i="12"/>
  <c r="N147" i="12"/>
  <c r="M125" i="12"/>
  <c r="G103" i="12"/>
  <c r="G19" i="12"/>
  <c r="R81" i="12"/>
  <c r="Y95" i="12"/>
  <c r="S81" i="12"/>
  <c r="E29" i="12"/>
  <c r="M59" i="12"/>
  <c r="M139" i="12"/>
  <c r="G139" i="12"/>
  <c r="N249" i="12"/>
  <c r="V237" i="12"/>
  <c r="L237" i="12"/>
  <c r="X225" i="12"/>
  <c r="N225" i="12"/>
  <c r="X213" i="12"/>
  <c r="N213" i="12"/>
  <c r="M201" i="12"/>
  <c r="X189" i="12"/>
  <c r="V179" i="12"/>
  <c r="V169" i="12"/>
  <c r="L169" i="12"/>
  <c r="C157" i="12"/>
  <c r="L155" i="12"/>
  <c r="L147" i="12"/>
  <c r="V139" i="12"/>
  <c r="Y125" i="12"/>
  <c r="L125" i="12"/>
  <c r="X111" i="12"/>
  <c r="Q103" i="12"/>
  <c r="R95" i="12"/>
  <c r="R69" i="12"/>
  <c r="X59" i="12"/>
  <c r="Y39" i="12"/>
  <c r="Q59" i="12"/>
  <c r="E59" i="12"/>
  <c r="N125" i="12"/>
  <c r="H103" i="12"/>
  <c r="N39" i="12"/>
  <c r="S69" i="12"/>
  <c r="M147" i="12"/>
  <c r="G147" i="12"/>
  <c r="S111" i="12"/>
  <c r="M111" i="12"/>
  <c r="G249" i="12"/>
  <c r="C133" i="12"/>
  <c r="N131" i="12"/>
  <c r="N49" i="12"/>
  <c r="Y81" i="12"/>
  <c r="S155" i="12"/>
  <c r="S103" i="12"/>
  <c r="E69" i="12"/>
  <c r="E147" i="12"/>
  <c r="M103" i="12"/>
  <c r="M29" i="12"/>
  <c r="G87" i="12"/>
  <c r="G169" i="12"/>
  <c r="G125" i="12"/>
  <c r="Y249" i="12"/>
  <c r="V201" i="12"/>
  <c r="E189" i="12"/>
  <c r="H179" i="12"/>
  <c r="X147" i="12"/>
  <c r="R139" i="12"/>
  <c r="L131" i="12"/>
  <c r="L95" i="12"/>
  <c r="X81" i="12"/>
  <c r="L69" i="12"/>
  <c r="L49" i="12"/>
  <c r="H39" i="12"/>
  <c r="Q29" i="12"/>
  <c r="V19" i="12"/>
  <c r="G69" i="12"/>
  <c r="G131" i="12"/>
  <c r="Y147" i="12"/>
  <c r="H81" i="12"/>
  <c r="X19" i="12"/>
  <c r="S147" i="12"/>
  <c r="S95" i="12"/>
  <c r="E111" i="12"/>
  <c r="E139" i="12"/>
  <c r="M95" i="12"/>
  <c r="M81" i="12"/>
  <c r="G111" i="12"/>
  <c r="G201" i="12"/>
  <c r="G81" i="12"/>
  <c r="X249" i="12"/>
  <c r="S237" i="12"/>
  <c r="G237" i="12"/>
  <c r="S189" i="12"/>
  <c r="R179" i="12"/>
  <c r="E179" i="12"/>
  <c r="S169" i="12"/>
  <c r="E169" i="12"/>
  <c r="H155" i="12"/>
  <c r="Q139" i="12"/>
  <c r="R125" i="12"/>
  <c r="H125" i="12"/>
  <c r="R111" i="12"/>
  <c r="L103" i="12"/>
  <c r="R87" i="12"/>
  <c r="S39" i="12"/>
  <c r="S19" i="12"/>
  <c r="M131" i="12"/>
  <c r="X39" i="12"/>
  <c r="R29" i="12"/>
  <c r="Q87" i="12"/>
  <c r="S139" i="12"/>
  <c r="S87" i="12"/>
  <c r="E103" i="12"/>
  <c r="E131" i="12"/>
  <c r="M87" i="12"/>
  <c r="M39" i="12"/>
  <c r="G95" i="12"/>
  <c r="G49" i="12"/>
  <c r="E249" i="12"/>
  <c r="R237" i="12"/>
  <c r="F237" i="12"/>
  <c r="S225" i="12"/>
  <c r="G225" i="12"/>
  <c r="R189" i="12"/>
  <c r="Q179" i="12"/>
  <c r="R169" i="12"/>
  <c r="X155" i="12"/>
  <c r="R147" i="12"/>
  <c r="C141" i="12"/>
  <c r="X131" i="12"/>
  <c r="Q125" i="12"/>
  <c r="X103" i="12"/>
  <c r="X69" i="12"/>
  <c r="R59" i="12"/>
  <c r="J24" i="16"/>
  <c r="E27" i="19"/>
  <c r="S35" i="14"/>
  <c r="T40" i="14"/>
  <c r="F26" i="4"/>
  <c r="J389" i="6"/>
  <c r="D414" i="6"/>
  <c r="H219" i="6"/>
  <c r="H225" i="6"/>
  <c r="H152" i="6"/>
  <c r="F219" i="6"/>
  <c r="F225" i="6"/>
  <c r="F152" i="6"/>
  <c r="F182" i="6"/>
  <c r="F54" i="6"/>
  <c r="A70" i="6"/>
  <c r="D175" i="6"/>
  <c r="E169" i="6"/>
  <c r="E173" i="6"/>
  <c r="E392" i="6"/>
  <c r="D418" i="6"/>
  <c r="D421" i="6"/>
  <c r="D155" i="6"/>
  <c r="E149" i="6"/>
  <c r="G160" i="6"/>
  <c r="G180" i="6"/>
  <c r="G130" i="6"/>
  <c r="G8" i="6"/>
  <c r="G17" i="6"/>
  <c r="G231" i="6"/>
  <c r="E398" i="6"/>
  <c r="D424" i="6"/>
  <c r="D426" i="6"/>
  <c r="H231" i="6"/>
  <c r="AA39" i="12"/>
  <c r="AA179" i="12"/>
  <c r="AA249" i="12"/>
  <c r="AA19" i="12"/>
  <c r="AA29" i="12"/>
  <c r="AA169" i="12"/>
  <c r="AA201" i="12"/>
  <c r="AA125" i="12"/>
  <c r="AA189" i="12"/>
  <c r="AA225" i="12"/>
  <c r="AA95" i="12"/>
  <c r="AA155" i="12"/>
  <c r="AA59" i="12"/>
  <c r="AA213" i="12"/>
  <c r="AA131" i="12"/>
  <c r="AA237" i="12"/>
  <c r="AA81" i="12"/>
  <c r="AA111" i="12"/>
  <c r="AA69" i="12"/>
  <c r="AA139" i="12"/>
  <c r="AA87" i="12"/>
  <c r="AA103" i="12"/>
  <c r="H263" i="6"/>
  <c r="H140" i="6"/>
  <c r="H125" i="6"/>
  <c r="H130" i="6"/>
  <c r="H8" i="6"/>
  <c r="H17" i="6"/>
  <c r="H114" i="6"/>
  <c r="G71" i="6"/>
  <c r="F80" i="6"/>
  <c r="F36" i="6"/>
  <c r="F185" i="3"/>
  <c r="C12" i="3"/>
  <c r="D192" i="8"/>
  <c r="C222" i="8"/>
  <c r="E192" i="8"/>
  <c r="C223" i="8"/>
  <c r="F192" i="8"/>
  <c r="C224" i="8"/>
  <c r="G80" i="6"/>
  <c r="G36" i="6"/>
  <c r="C114" i="12"/>
  <c r="E231" i="8"/>
  <c r="F231" i="8"/>
  <c r="E55" i="6"/>
  <c r="E9" i="6"/>
  <c r="E18" i="6"/>
  <c r="E68" i="6"/>
  <c r="E81" i="6"/>
  <c r="E37" i="6"/>
  <c r="D180" i="6"/>
  <c r="E99" i="12"/>
  <c r="F99" i="12"/>
  <c r="E118" i="3"/>
  <c r="E15" i="8"/>
  <c r="F82" i="8"/>
  <c r="F102" i="8"/>
  <c r="A1" i="19"/>
  <c r="A1" i="13"/>
  <c r="A1" i="12"/>
  <c r="A1" i="4"/>
  <c r="A1" i="16"/>
  <c r="A1" i="14"/>
  <c r="A1" i="8"/>
  <c r="A1" i="15"/>
  <c r="A1" i="17"/>
  <c r="D143" i="6"/>
  <c r="D52" i="12"/>
  <c r="H406" i="6"/>
  <c r="H432" i="6"/>
  <c r="G432" i="6"/>
  <c r="H245" i="6"/>
  <c r="H172" i="6"/>
  <c r="D15" i="8"/>
  <c r="D118" i="3"/>
  <c r="E102" i="8"/>
  <c r="E82" i="8"/>
  <c r="G404" i="6"/>
  <c r="F430" i="6"/>
  <c r="E140" i="8"/>
  <c r="E125" i="8"/>
  <c r="E405" i="6"/>
  <c r="D431" i="6"/>
  <c r="E297" i="6"/>
  <c r="F294" i="6"/>
  <c r="G386" i="6"/>
  <c r="F412" i="6"/>
  <c r="D68" i="6"/>
  <c r="D81" i="6"/>
  <c r="D37" i="6"/>
  <c r="D55" i="6"/>
  <c r="D9" i="6"/>
  <c r="D18" i="6"/>
  <c r="J4" i="8"/>
  <c r="G22" i="13"/>
  <c r="E263" i="6"/>
  <c r="E125" i="6"/>
  <c r="E130" i="6"/>
  <c r="E8" i="6"/>
  <c r="E17" i="6"/>
  <c r="E150" i="6"/>
  <c r="E219" i="6"/>
  <c r="E225" i="6"/>
  <c r="E152" i="6"/>
  <c r="H394" i="6"/>
  <c r="H420" i="6"/>
  <c r="G420" i="6"/>
  <c r="E412" i="6"/>
  <c r="H399" i="6"/>
  <c r="H425" i="6"/>
  <c r="G425" i="6"/>
  <c r="D290" i="6"/>
  <c r="D289" i="6"/>
  <c r="D291" i="6"/>
  <c r="E288" i="6"/>
  <c r="D261" i="6"/>
  <c r="D284" i="6"/>
  <c r="E268" i="8"/>
  <c r="F265" i="8"/>
  <c r="F29" i="12"/>
  <c r="F125" i="12"/>
  <c r="F49" i="12"/>
  <c r="F87" i="12"/>
  <c r="F169" i="12"/>
  <c r="F59" i="12"/>
  <c r="F95" i="12"/>
  <c r="F131" i="12"/>
  <c r="F201" i="12"/>
  <c r="F69" i="12"/>
  <c r="F103" i="12"/>
  <c r="F19" i="12"/>
  <c r="F147" i="12"/>
  <c r="F225" i="12"/>
  <c r="F249" i="12"/>
  <c r="F139" i="12"/>
  <c r="F179" i="12"/>
  <c r="F39" i="12"/>
  <c r="F111" i="12"/>
  <c r="F81" i="12"/>
  <c r="F213" i="12"/>
  <c r="F189" i="12"/>
  <c r="G235" i="6"/>
  <c r="G162" i="6"/>
  <c r="E145" i="4"/>
  <c r="F145" i="4"/>
  <c r="G145" i="4"/>
  <c r="H145" i="4"/>
  <c r="E274" i="8"/>
  <c r="F271" i="8"/>
  <c r="D228" i="6"/>
  <c r="D235" i="6"/>
  <c r="D162" i="6"/>
  <c r="D163" i="6"/>
  <c r="H228" i="6"/>
  <c r="E228" i="6"/>
  <c r="E235" i="6"/>
  <c r="E162" i="6"/>
  <c r="F228" i="6"/>
  <c r="F235" i="6"/>
  <c r="F162" i="6"/>
  <c r="E215" i="8"/>
  <c r="C115" i="12"/>
  <c r="F232" i="8"/>
  <c r="B115" i="12"/>
  <c r="C11" i="13"/>
  <c r="C13" i="13"/>
  <c r="F278" i="6"/>
  <c r="E302" i="6"/>
  <c r="E301" i="6"/>
  <c r="E303" i="6"/>
  <c r="F300" i="6"/>
  <c r="E296" i="6"/>
  <c r="E295" i="6"/>
  <c r="C113" i="12"/>
  <c r="E4" i="8"/>
  <c r="E90" i="8"/>
  <c r="D156" i="3"/>
  <c r="D23" i="3"/>
  <c r="D255" i="8"/>
  <c r="D53" i="12"/>
  <c r="D42" i="12"/>
  <c r="D62" i="12"/>
  <c r="D40" i="4"/>
  <c r="D7" i="12"/>
  <c r="D52" i="13"/>
  <c r="N145" i="4"/>
  <c r="E144" i="4"/>
  <c r="D43" i="12"/>
  <c r="D73" i="12"/>
  <c r="D260" i="8"/>
  <c r="D262" i="8"/>
  <c r="E259" i="8"/>
  <c r="E260" i="8"/>
  <c r="E127" i="8"/>
  <c r="E49" i="8"/>
  <c r="E52" i="8"/>
  <c r="B158" i="12"/>
  <c r="E151" i="8"/>
  <c r="B142" i="12"/>
  <c r="D50" i="3"/>
  <c r="N57" i="17"/>
  <c r="K225" i="12"/>
  <c r="E385" i="6"/>
  <c r="D411" i="6"/>
  <c r="H27" i="19"/>
  <c r="U57" i="17"/>
  <c r="F125" i="8"/>
  <c r="F130" i="8"/>
  <c r="F140" i="8"/>
  <c r="G388" i="6"/>
  <c r="F414" i="6"/>
  <c r="F198" i="3"/>
  <c r="W59" i="12"/>
  <c r="W213" i="12"/>
  <c r="W225" i="12"/>
  <c r="W237" i="12"/>
  <c r="W87" i="12"/>
  <c r="W95" i="12"/>
  <c r="W147" i="12"/>
  <c r="W49" i="12"/>
  <c r="W169" i="12"/>
  <c r="W29" i="12"/>
  <c r="W249" i="12"/>
  <c r="W189" i="12"/>
  <c r="K201" i="12"/>
  <c r="K189" i="12"/>
  <c r="K19" i="12"/>
  <c r="K125" i="12"/>
  <c r="K179" i="12"/>
  <c r="K213" i="12"/>
  <c r="K237" i="12"/>
  <c r="K69" i="12"/>
  <c r="K59" i="12"/>
  <c r="K103" i="12"/>
  <c r="K155" i="12"/>
  <c r="K39" i="12"/>
  <c r="H211" i="6"/>
  <c r="G211" i="6"/>
  <c r="G215" i="6"/>
  <c r="G142" i="6"/>
  <c r="E209" i="6"/>
  <c r="E215" i="6"/>
  <c r="E142" i="6"/>
  <c r="E182" i="6"/>
  <c r="E54" i="6"/>
  <c r="E180" i="6"/>
  <c r="E191" i="3"/>
  <c r="E193" i="3"/>
  <c r="E200" i="3"/>
  <c r="E201" i="3"/>
  <c r="F99" i="3"/>
  <c r="D7" i="17"/>
  <c r="C95" i="3"/>
  <c r="K249" i="12"/>
  <c r="C150" i="12"/>
  <c r="C151" i="12"/>
  <c r="W81" i="12"/>
  <c r="H160" i="6"/>
  <c r="D42" i="17"/>
  <c r="C26" i="4"/>
  <c r="C26" i="19"/>
  <c r="C98" i="3"/>
  <c r="C139" i="4"/>
  <c r="C10" i="13"/>
  <c r="C19" i="13"/>
  <c r="A36" i="4"/>
  <c r="M225" i="12"/>
  <c r="C142" i="12"/>
  <c r="H69" i="12"/>
  <c r="V155" i="12"/>
  <c r="V249" i="12"/>
  <c r="V87" i="12"/>
  <c r="V39" i="12"/>
  <c r="V95" i="12"/>
  <c r="V147" i="12"/>
  <c r="V125" i="12"/>
  <c r="V189" i="12"/>
  <c r="Q19" i="12"/>
  <c r="Q39" i="12"/>
  <c r="Q189" i="12"/>
  <c r="Q49" i="12"/>
  <c r="Q131" i="12"/>
  <c r="Q249" i="12"/>
  <c r="Q81" i="12"/>
  <c r="Q169" i="12"/>
  <c r="Q155" i="12"/>
  <c r="Q201" i="12"/>
  <c r="Q213" i="12"/>
  <c r="Q225" i="12"/>
  <c r="Q237" i="12"/>
  <c r="G106" i="6"/>
  <c r="G114" i="6"/>
  <c r="F191" i="3"/>
  <c r="F193" i="3"/>
  <c r="F200" i="3"/>
  <c r="D191" i="3"/>
  <c r="D193" i="3"/>
  <c r="D200" i="3"/>
  <c r="D201" i="3"/>
  <c r="E99" i="3"/>
  <c r="W57" i="17"/>
  <c r="A18" i="17"/>
  <c r="M237" i="12"/>
  <c r="Y49" i="12"/>
  <c r="Y131" i="12"/>
  <c r="Y59" i="12"/>
  <c r="Y29" i="12"/>
  <c r="Y69" i="12"/>
  <c r="Y103" i="12"/>
  <c r="Y111" i="12"/>
  <c r="Y139" i="12"/>
  <c r="Y169" i="12"/>
  <c r="Y19" i="12"/>
  <c r="Y201" i="12"/>
  <c r="Y213" i="12"/>
  <c r="Y225" i="12"/>
  <c r="Y237" i="12"/>
  <c r="S29" i="12"/>
  <c r="S125" i="12"/>
  <c r="S59" i="12"/>
  <c r="S179" i="12"/>
  <c r="S249" i="12"/>
  <c r="N95" i="12"/>
  <c r="N179" i="12"/>
  <c r="N103" i="12"/>
  <c r="N155" i="12"/>
  <c r="N201" i="12"/>
  <c r="N69" i="12"/>
  <c r="N111" i="12"/>
  <c r="N139" i="12"/>
  <c r="N29" i="12"/>
  <c r="E391" i="6"/>
  <c r="H274" i="6"/>
  <c r="H262" i="6"/>
  <c r="H112" i="6"/>
  <c r="C137" i="3"/>
  <c r="C141" i="3"/>
  <c r="M49" i="12"/>
  <c r="M249" i="12"/>
  <c r="M69" i="12"/>
  <c r="M189" i="12"/>
  <c r="H111" i="12"/>
  <c r="H139" i="12"/>
  <c r="H189" i="12"/>
  <c r="H19" i="12"/>
  <c r="H147" i="12"/>
  <c r="H249" i="12"/>
  <c r="H49" i="12"/>
  <c r="H87" i="12"/>
  <c r="H169" i="12"/>
  <c r="H213" i="12"/>
  <c r="H225" i="12"/>
  <c r="H237" i="12"/>
  <c r="H59" i="12"/>
  <c r="H95" i="12"/>
  <c r="H131" i="12"/>
  <c r="H201" i="12"/>
  <c r="D413" i="6"/>
  <c r="E387" i="6"/>
  <c r="F110" i="6"/>
  <c r="F112" i="6"/>
  <c r="F114" i="6"/>
  <c r="E198" i="3"/>
  <c r="T69" i="14"/>
  <c r="A39" i="4"/>
  <c r="A48" i="4"/>
  <c r="D428" i="6"/>
  <c r="E402" i="6"/>
  <c r="E228" i="3"/>
  <c r="E192" i="3"/>
  <c r="C135" i="12"/>
  <c r="F62" i="12"/>
  <c r="F43" i="12"/>
  <c r="G218" i="6"/>
  <c r="E52" i="12"/>
  <c r="G62" i="12"/>
  <c r="E33" i="12"/>
  <c r="G182" i="12"/>
  <c r="B218" i="12"/>
  <c r="E73" i="12"/>
  <c r="F52" i="12"/>
  <c r="F33" i="12"/>
  <c r="F73" i="12"/>
  <c r="S40" i="14"/>
  <c r="T55" i="14"/>
  <c r="T44" i="14"/>
  <c r="T53" i="14"/>
  <c r="S66" i="14"/>
  <c r="T50" i="14"/>
  <c r="S52" i="14"/>
  <c r="S55" i="14"/>
  <c r="T70" i="14"/>
  <c r="E24" i="4"/>
  <c r="S31" i="14"/>
  <c r="S34" i="14"/>
  <c r="H26" i="16"/>
  <c r="I10" i="13"/>
  <c r="I22" i="13"/>
  <c r="I11" i="13"/>
  <c r="J22" i="13"/>
  <c r="T33" i="14"/>
  <c r="T34" i="14"/>
  <c r="G71" i="12"/>
  <c r="G24" i="4"/>
  <c r="G18" i="17"/>
  <c r="G38" i="17"/>
  <c r="G25" i="4"/>
  <c r="S69" i="14"/>
  <c r="S74" i="14"/>
  <c r="T42" i="14"/>
  <c r="S43" i="14"/>
  <c r="S64" i="14"/>
  <c r="T71" i="14"/>
  <c r="S72" i="14"/>
  <c r="T65" i="14"/>
  <c r="S30" i="14"/>
  <c r="T43" i="14"/>
  <c r="S44" i="14"/>
  <c r="S50" i="14"/>
  <c r="T64" i="14"/>
  <c r="S65" i="14"/>
  <c r="T72" i="14"/>
  <c r="S73" i="14"/>
  <c r="S54" i="14"/>
  <c r="S71" i="14"/>
  <c r="J25" i="16"/>
  <c r="J49" i="16"/>
  <c r="T36" i="14"/>
  <c r="E71" i="12"/>
  <c r="E185" i="12"/>
  <c r="B252" i="12"/>
  <c r="E26" i="4"/>
  <c r="H40" i="16"/>
  <c r="S36" i="14"/>
  <c r="J40" i="16"/>
  <c r="S33" i="14"/>
  <c r="T46" i="14"/>
  <c r="T52" i="14"/>
  <c r="J48" i="13"/>
  <c r="I48" i="13"/>
  <c r="H22" i="16"/>
  <c r="T32" i="14"/>
  <c r="S53" i="14"/>
  <c r="T67" i="14"/>
  <c r="S68" i="14"/>
  <c r="AC32" i="13"/>
  <c r="I45" i="13"/>
  <c r="J45" i="13"/>
  <c r="I47" i="13"/>
  <c r="J47" i="13"/>
  <c r="F42" i="12"/>
  <c r="H49" i="16"/>
  <c r="I16" i="16"/>
  <c r="I22" i="16"/>
  <c r="H16" i="16"/>
  <c r="G21" i="12"/>
  <c r="S51" i="14"/>
  <c r="I40" i="16"/>
  <c r="E42" i="12"/>
  <c r="G52" i="12"/>
  <c r="E180" i="12"/>
  <c r="G33" i="12"/>
  <c r="I49" i="16"/>
  <c r="G185" i="12"/>
  <c r="B254" i="12"/>
  <c r="G73" i="12"/>
  <c r="T31" i="14"/>
  <c r="S32" i="14"/>
  <c r="T45" i="14"/>
  <c r="S46" i="14"/>
  <c r="T51" i="14"/>
  <c r="T66" i="14"/>
  <c r="S67" i="14"/>
  <c r="T74" i="14"/>
  <c r="AB32" i="13"/>
  <c r="F31" i="12"/>
  <c r="E21" i="12"/>
  <c r="F21" i="12"/>
  <c r="I25" i="16"/>
  <c r="T35" i="14"/>
  <c r="J22" i="16"/>
  <c r="D58" i="20"/>
  <c r="E58" i="20"/>
  <c r="E41" i="12"/>
  <c r="I16" i="13"/>
  <c r="I14" i="13"/>
  <c r="G23" i="12"/>
  <c r="J26" i="16"/>
  <c r="T30" i="14"/>
  <c r="I24" i="16"/>
  <c r="T54" i="14"/>
  <c r="T68" i="14"/>
  <c r="S42" i="14"/>
  <c r="T73" i="14"/>
  <c r="S41" i="14"/>
  <c r="S45" i="14"/>
  <c r="T41" i="14"/>
  <c r="S70" i="14"/>
  <c r="H46" i="4"/>
  <c r="H53" i="12"/>
  <c r="H35" i="4"/>
  <c r="H32" i="12"/>
  <c r="H10" i="4"/>
  <c r="H21" i="12"/>
  <c r="H11" i="4"/>
  <c r="H31" i="12"/>
  <c r="H37" i="4"/>
  <c r="H52" i="12"/>
  <c r="H55" i="4"/>
  <c r="H32" i="13"/>
  <c r="H39" i="4"/>
  <c r="H72" i="12"/>
  <c r="H34" i="4"/>
  <c r="H22" i="12"/>
  <c r="H47" i="4"/>
  <c r="H63" i="12"/>
  <c r="H36" i="4"/>
  <c r="H42" i="12"/>
  <c r="H12" i="4"/>
  <c r="H41" i="12"/>
  <c r="H38" i="4"/>
  <c r="H62" i="12"/>
  <c r="H48" i="4"/>
  <c r="H73" i="12"/>
  <c r="H43" i="4"/>
  <c r="H23" i="12"/>
  <c r="H15" i="4"/>
  <c r="H44" i="4"/>
  <c r="H33" i="12"/>
  <c r="H23" i="4"/>
  <c r="H17" i="17"/>
  <c r="H32" i="17"/>
  <c r="H45" i="4"/>
  <c r="H43" i="12"/>
  <c r="D158" i="12"/>
  <c r="B114" i="12"/>
  <c r="E114" i="12"/>
  <c r="F114" i="12"/>
  <c r="D114" i="12"/>
  <c r="F215" i="8"/>
  <c r="B98" i="12"/>
  <c r="D115" i="12"/>
  <c r="F181" i="12"/>
  <c r="B205" i="12"/>
  <c r="F205" i="12"/>
  <c r="F71" i="12"/>
  <c r="G43" i="12"/>
  <c r="F185" i="12"/>
  <c r="B253" i="12"/>
  <c r="F253" i="12"/>
  <c r="G253" i="12"/>
  <c r="H253" i="12"/>
  <c r="E181" i="12"/>
  <c r="B204" i="12"/>
  <c r="E204" i="12"/>
  <c r="F51" i="13"/>
  <c r="D165" i="6"/>
  <c r="E159" i="6"/>
  <c r="E163" i="6"/>
  <c r="G99" i="12"/>
  <c r="H99" i="12"/>
  <c r="D17" i="17"/>
  <c r="D32" i="17"/>
  <c r="D22" i="4"/>
  <c r="D151" i="8"/>
  <c r="D181" i="8"/>
  <c r="B133" i="12"/>
  <c r="D123" i="8"/>
  <c r="B157" i="12"/>
  <c r="D50" i="8"/>
  <c r="D128" i="8"/>
  <c r="D93" i="8"/>
  <c r="D122" i="8"/>
  <c r="D124" i="8"/>
  <c r="D49" i="8"/>
  <c r="B149" i="12"/>
  <c r="C156" i="3"/>
  <c r="B156" i="3"/>
  <c r="D127" i="8"/>
  <c r="F222" i="8"/>
  <c r="D51" i="8"/>
  <c r="B141" i="12"/>
  <c r="G430" i="6"/>
  <c r="H404" i="6"/>
  <c r="H430" i="6"/>
  <c r="F17" i="17"/>
  <c r="F32" i="17"/>
  <c r="F180" i="8"/>
  <c r="F208" i="8"/>
  <c r="B91" i="12"/>
  <c r="D32" i="13"/>
  <c r="P32" i="13"/>
  <c r="AA32" i="13"/>
  <c r="D53" i="13"/>
  <c r="D254" i="8"/>
  <c r="D279" i="8"/>
  <c r="E261" i="6"/>
  <c r="E284" i="6"/>
  <c r="E290" i="6"/>
  <c r="E289" i="6"/>
  <c r="E291" i="6"/>
  <c r="F288" i="6"/>
  <c r="G412" i="6"/>
  <c r="H386" i="6"/>
  <c r="H412" i="6"/>
  <c r="B90" i="12"/>
  <c r="E207" i="8"/>
  <c r="F207" i="8"/>
  <c r="E139" i="6"/>
  <c r="D145" i="6"/>
  <c r="D185" i="6"/>
  <c r="D183" i="6"/>
  <c r="G20" i="17"/>
  <c r="G50" i="17"/>
  <c r="E19" i="17"/>
  <c r="E44" i="17"/>
  <c r="E53" i="13"/>
  <c r="F182" i="12"/>
  <c r="B217" i="12"/>
  <c r="F217" i="12"/>
  <c r="R32" i="13"/>
  <c r="F391" i="6"/>
  <c r="E417" i="6"/>
  <c r="D82" i="8"/>
  <c r="D102" i="8"/>
  <c r="E262" i="8"/>
  <c r="F259" i="8"/>
  <c r="E22" i="13"/>
  <c r="H4" i="8"/>
  <c r="F272" i="8"/>
  <c r="F274" i="8"/>
  <c r="D48" i="17"/>
  <c r="D182" i="6"/>
  <c r="D54" i="6"/>
  <c r="E153" i="6"/>
  <c r="D25" i="4"/>
  <c r="D19" i="17"/>
  <c r="D44" i="17"/>
  <c r="D43" i="17"/>
  <c r="D45" i="17"/>
  <c r="E42" i="17"/>
  <c r="D57" i="20"/>
  <c r="E57" i="20"/>
  <c r="G185" i="3"/>
  <c r="H71" i="6"/>
  <c r="D185" i="12"/>
  <c r="B251" i="12"/>
  <c r="D71" i="12"/>
  <c r="D26" i="4"/>
  <c r="D20" i="17"/>
  <c r="D50" i="17"/>
  <c r="K4" i="8"/>
  <c r="H22" i="13"/>
  <c r="F405" i="6"/>
  <c r="E431" i="6"/>
  <c r="F223" i="8"/>
  <c r="C106" i="12"/>
  <c r="H55" i="6"/>
  <c r="H9" i="6"/>
  <c r="H18" i="6"/>
  <c r="H68" i="6"/>
  <c r="Q32" i="13"/>
  <c r="F22" i="4"/>
  <c r="F16" i="17"/>
  <c r="F26" i="17"/>
  <c r="S32" i="13"/>
  <c r="E428" i="6"/>
  <c r="F402" i="6"/>
  <c r="B143" i="12"/>
  <c r="D27" i="6"/>
  <c r="E5" i="8"/>
  <c r="E6" i="8"/>
  <c r="B135" i="12"/>
  <c r="D135" i="12"/>
  <c r="B159" i="12"/>
  <c r="D5" i="8"/>
  <c r="D6" i="8"/>
  <c r="B150" i="12"/>
  <c r="D150" i="12"/>
  <c r="B151" i="12"/>
  <c r="B134" i="12"/>
  <c r="F5" i="8"/>
  <c r="F6" i="8"/>
  <c r="D415" i="6"/>
  <c r="D182" i="12"/>
  <c r="B215" i="12"/>
  <c r="D41" i="12"/>
  <c r="E115" i="12"/>
  <c r="F115" i="12"/>
  <c r="H235" i="6"/>
  <c r="H162" i="6"/>
  <c r="D283" i="6"/>
  <c r="D308" i="6"/>
  <c r="C105" i="12"/>
  <c r="F169" i="6"/>
  <c r="F173" i="6"/>
  <c r="E175" i="6"/>
  <c r="G219" i="6"/>
  <c r="G225" i="6"/>
  <c r="G152" i="6"/>
  <c r="G182" i="6"/>
  <c r="G54" i="6"/>
  <c r="G278" i="6"/>
  <c r="F296" i="6"/>
  <c r="F295" i="6"/>
  <c r="F297" i="6"/>
  <c r="G294" i="6"/>
  <c r="F302" i="6"/>
  <c r="F301" i="6"/>
  <c r="F303" i="6"/>
  <c r="G300" i="6"/>
  <c r="F290" i="6"/>
  <c r="D142" i="12"/>
  <c r="E181" i="8"/>
  <c r="F284" i="6"/>
  <c r="E32" i="13"/>
  <c r="F392" i="6"/>
  <c r="E418" i="6"/>
  <c r="D433" i="6"/>
  <c r="F55" i="6"/>
  <c r="F9" i="6"/>
  <c r="F18" i="6"/>
  <c r="F68" i="6"/>
  <c r="F81" i="6"/>
  <c r="F37" i="6"/>
  <c r="F201" i="3"/>
  <c r="C201" i="3"/>
  <c r="D151" i="12"/>
  <c r="F385" i="6"/>
  <c r="E411" i="6"/>
  <c r="E223" i="8"/>
  <c r="E160" i="8"/>
  <c r="D43" i="20"/>
  <c r="E43" i="20"/>
  <c r="H212" i="6"/>
  <c r="H180" i="6"/>
  <c r="D32" i="12"/>
  <c r="D181" i="12"/>
  <c r="B203" i="12"/>
  <c r="F398" i="6"/>
  <c r="E424" i="6"/>
  <c r="E426" i="6"/>
  <c r="G53" i="13"/>
  <c r="E20" i="17"/>
  <c r="E50" i="17"/>
  <c r="H215" i="6"/>
  <c r="H142" i="6"/>
  <c r="H182" i="6"/>
  <c r="H54" i="6"/>
  <c r="F266" i="8"/>
  <c r="F268" i="8"/>
  <c r="D36" i="17"/>
  <c r="C107" i="12"/>
  <c r="F224" i="8"/>
  <c r="B107" i="12"/>
  <c r="G19" i="17"/>
  <c r="G44" i="17"/>
  <c r="G32" i="13"/>
  <c r="G55" i="6"/>
  <c r="G9" i="6"/>
  <c r="G18" i="6"/>
  <c r="G68" i="6"/>
  <c r="G81" i="6"/>
  <c r="G37" i="6"/>
  <c r="D23" i="12"/>
  <c r="D49" i="4"/>
  <c r="D8" i="12"/>
  <c r="F20" i="17"/>
  <c r="F50" i="17"/>
  <c r="F32" i="13"/>
  <c r="E18" i="17"/>
  <c r="E38" i="17"/>
  <c r="E413" i="6"/>
  <c r="F387" i="6"/>
  <c r="F45" i="13"/>
  <c r="G45" i="13"/>
  <c r="D45" i="13"/>
  <c r="E45" i="13"/>
  <c r="H45" i="13"/>
  <c r="H388" i="6"/>
  <c r="H414" i="6"/>
  <c r="G414" i="6"/>
  <c r="D16" i="4"/>
  <c r="D6" i="12"/>
  <c r="D180" i="12"/>
  <c r="D21" i="12"/>
  <c r="C15" i="13"/>
  <c r="E130" i="8"/>
  <c r="F53" i="13"/>
  <c r="H261" i="6"/>
  <c r="F19" i="17"/>
  <c r="F44" i="17"/>
  <c r="G49" i="4"/>
  <c r="G8" i="12"/>
  <c r="G16" i="4"/>
  <c r="G6" i="12"/>
  <c r="D44" i="20"/>
  <c r="E44" i="20"/>
  <c r="G181" i="12"/>
  <c r="B206" i="12"/>
  <c r="G206" i="12"/>
  <c r="H27" i="16"/>
  <c r="E16" i="4"/>
  <c r="E6" i="12"/>
  <c r="E7" i="12"/>
  <c r="E52" i="13"/>
  <c r="F180" i="12"/>
  <c r="B193" i="12"/>
  <c r="I145" i="4"/>
  <c r="G51" i="13"/>
  <c r="I15" i="13"/>
  <c r="J46" i="13"/>
  <c r="E182" i="12"/>
  <c r="B216" i="12"/>
  <c r="J27" i="16"/>
  <c r="B192" i="12"/>
  <c r="F23" i="12"/>
  <c r="F49" i="4"/>
  <c r="F8" i="12"/>
  <c r="F24" i="4"/>
  <c r="D45" i="20"/>
  <c r="E45" i="20"/>
  <c r="G254" i="12"/>
  <c r="I19" i="13"/>
  <c r="I13" i="13"/>
  <c r="G218" i="12"/>
  <c r="H218" i="12"/>
  <c r="E49" i="4"/>
  <c r="E8" i="12"/>
  <c r="E23" i="12"/>
  <c r="E17" i="17"/>
  <c r="E32" i="17"/>
  <c r="E22" i="4"/>
  <c r="I27" i="16"/>
  <c r="G17" i="17"/>
  <c r="G32" i="17"/>
  <c r="G22" i="4"/>
  <c r="G22" i="12"/>
  <c r="G7" i="12"/>
  <c r="G52" i="13"/>
  <c r="G180" i="12"/>
  <c r="E252" i="12"/>
  <c r="F16" i="4"/>
  <c r="F6" i="12"/>
  <c r="F40" i="4"/>
  <c r="F7" i="12"/>
  <c r="F52" i="13"/>
  <c r="F22" i="12"/>
  <c r="D46" i="20"/>
  <c r="E46" i="20"/>
  <c r="D59" i="20"/>
  <c r="E59" i="20"/>
  <c r="D60" i="20"/>
  <c r="E60" i="20"/>
  <c r="J48" i="4"/>
  <c r="J73" i="12"/>
  <c r="J44" i="4"/>
  <c r="J33" i="12"/>
  <c r="J37" i="4"/>
  <c r="J52" i="12"/>
  <c r="J23" i="4"/>
  <c r="D35" i="20"/>
  <c r="E35" i="20"/>
  <c r="I43" i="4"/>
  <c r="I23" i="12"/>
  <c r="I11" i="4"/>
  <c r="I31" i="12"/>
  <c r="I39" i="4"/>
  <c r="I72" i="12"/>
  <c r="I10" i="4"/>
  <c r="I21" i="12"/>
  <c r="J34" i="4"/>
  <c r="J22" i="12"/>
  <c r="I45" i="4"/>
  <c r="I43" i="12"/>
  <c r="I48" i="4"/>
  <c r="I73" i="12"/>
  <c r="I44" i="4"/>
  <c r="I33" i="12"/>
  <c r="I37" i="4"/>
  <c r="I52" i="12"/>
  <c r="I23" i="4"/>
  <c r="I17" i="17"/>
  <c r="I32" i="17"/>
  <c r="D34" i="20"/>
  <c r="E34" i="20"/>
  <c r="I36" i="4"/>
  <c r="I42" i="12"/>
  <c r="J39" i="4"/>
  <c r="J72" i="12"/>
  <c r="J10" i="4"/>
  <c r="J21" i="12"/>
  <c r="I35" i="4"/>
  <c r="I32" i="12"/>
  <c r="J45" i="4"/>
  <c r="J43" i="12"/>
  <c r="I34" i="4"/>
  <c r="I22" i="12"/>
  <c r="J47" i="4"/>
  <c r="J63" i="12"/>
  <c r="J43" i="4"/>
  <c r="J23" i="12"/>
  <c r="J36" i="4"/>
  <c r="J42" i="12"/>
  <c r="J15" i="4"/>
  <c r="J71" i="12"/>
  <c r="J11" i="4"/>
  <c r="J31" i="12"/>
  <c r="I47" i="4"/>
  <c r="I63" i="12"/>
  <c r="I15" i="4"/>
  <c r="I71" i="12"/>
  <c r="J35" i="4"/>
  <c r="J32" i="12"/>
  <c r="I46" i="4"/>
  <c r="I53" i="12"/>
  <c r="I25" i="4"/>
  <c r="I19" i="17"/>
  <c r="I44" i="17"/>
  <c r="J38" i="4"/>
  <c r="J62" i="12"/>
  <c r="I38" i="4"/>
  <c r="I62" i="12"/>
  <c r="J46" i="4"/>
  <c r="J53" i="12"/>
  <c r="H181" i="12"/>
  <c r="B207" i="12"/>
  <c r="H207" i="12"/>
  <c r="H40" i="4"/>
  <c r="H7" i="12"/>
  <c r="H52" i="13"/>
  <c r="H24" i="4"/>
  <c r="H18" i="17"/>
  <c r="H38" i="17"/>
  <c r="H26" i="4"/>
  <c r="H20" i="17"/>
  <c r="H50" i="17"/>
  <c r="H185" i="12"/>
  <c r="B255" i="12"/>
  <c r="H255" i="12"/>
  <c r="H71" i="12"/>
  <c r="H22" i="4"/>
  <c r="H16" i="17"/>
  <c r="H16" i="4"/>
  <c r="H6" i="12"/>
  <c r="D47" i="20"/>
  <c r="E47" i="20"/>
  <c r="H25" i="4"/>
  <c r="H19" i="17"/>
  <c r="H44" i="17"/>
  <c r="H49" i="4"/>
  <c r="H8" i="12"/>
  <c r="H182" i="12"/>
  <c r="B219" i="12"/>
  <c r="H219" i="12"/>
  <c r="H180" i="12"/>
  <c r="B195" i="12"/>
  <c r="H195" i="12"/>
  <c r="I195" i="12"/>
  <c r="AE32" i="13"/>
  <c r="T32" i="13"/>
  <c r="H53" i="13"/>
  <c r="E158" i="12"/>
  <c r="F158" i="12"/>
  <c r="F227" i="8"/>
  <c r="F162" i="8"/>
  <c r="D150" i="8"/>
  <c r="D214" i="8"/>
  <c r="D219" i="8"/>
  <c r="D152" i="8"/>
  <c r="D153" i="8"/>
  <c r="B106" i="12"/>
  <c r="D106" i="12"/>
  <c r="E222" i="8"/>
  <c r="E227" i="8"/>
  <c r="E162" i="8"/>
  <c r="D49" i="17"/>
  <c r="D51" i="17"/>
  <c r="E48" i="17"/>
  <c r="E49" i="17"/>
  <c r="E51" i="17"/>
  <c r="F48" i="17"/>
  <c r="F49" i="17"/>
  <c r="F51" i="17"/>
  <c r="G48" i="17"/>
  <c r="G49" i="17"/>
  <c r="G51" i="17"/>
  <c r="H48" i="17"/>
  <c r="G295" i="6"/>
  <c r="G297" i="6"/>
  <c r="H294" i="6"/>
  <c r="D1" i="3"/>
  <c r="C1" i="3"/>
  <c r="G114" i="12"/>
  <c r="I99" i="12"/>
  <c r="J99" i="12"/>
  <c r="F289" i="6"/>
  <c r="F291" i="6"/>
  <c r="G288" i="6"/>
  <c r="D91" i="12"/>
  <c r="E91" i="12"/>
  <c r="D203" i="12"/>
  <c r="D210" i="12"/>
  <c r="D53" i="6"/>
  <c r="D69" i="6"/>
  <c r="D70" i="6"/>
  <c r="D83" i="6"/>
  <c r="D39" i="6"/>
  <c r="D16" i="17"/>
  <c r="D27" i="4"/>
  <c r="I253" i="12"/>
  <c r="J253" i="12"/>
  <c r="D134" i="12"/>
  <c r="E134" i="12"/>
  <c r="B191" i="12"/>
  <c r="D186" i="12"/>
  <c r="D171" i="12"/>
  <c r="F424" i="6"/>
  <c r="F426" i="6"/>
  <c r="G398" i="6"/>
  <c r="D98" i="12"/>
  <c r="F175" i="6"/>
  <c r="G169" i="6"/>
  <c r="G173" i="6"/>
  <c r="D159" i="12"/>
  <c r="E159" i="12"/>
  <c r="D52" i="8"/>
  <c r="B136" i="12"/>
  <c r="D133" i="12"/>
  <c r="F413" i="6"/>
  <c r="G387" i="6"/>
  <c r="D107" i="12"/>
  <c r="D215" i="12"/>
  <c r="E135" i="12"/>
  <c r="F135" i="12"/>
  <c r="D435" i="6"/>
  <c r="E155" i="6"/>
  <c r="F149" i="6"/>
  <c r="F153" i="6"/>
  <c r="D125" i="8"/>
  <c r="D130" i="8"/>
  <c r="D140" i="8"/>
  <c r="A13" i="6"/>
  <c r="A22" i="6"/>
  <c r="F260" i="8"/>
  <c r="F262" i="8"/>
  <c r="D30" i="17"/>
  <c r="E415" i="6"/>
  <c r="E435" i="6"/>
  <c r="D143" i="12"/>
  <c r="D230" i="8"/>
  <c r="D235" i="8"/>
  <c r="D172" i="8"/>
  <c r="D170" i="8"/>
  <c r="E230" i="8"/>
  <c r="E235" i="8"/>
  <c r="E172" i="8"/>
  <c r="F230" i="8"/>
  <c r="F235" i="8"/>
  <c r="F172" i="8"/>
  <c r="G46" i="13"/>
  <c r="H46" i="13"/>
  <c r="F46" i="13"/>
  <c r="E46" i="13"/>
  <c r="D46" i="13"/>
  <c r="F411" i="6"/>
  <c r="G385" i="6"/>
  <c r="G392" i="6"/>
  <c r="F418" i="6"/>
  <c r="E142" i="12"/>
  <c r="G115" i="12"/>
  <c r="E151" i="12"/>
  <c r="F151" i="12"/>
  <c r="G402" i="6"/>
  <c r="F428" i="6"/>
  <c r="F433" i="6"/>
  <c r="F431" i="6"/>
  <c r="G405" i="6"/>
  <c r="E43" i="17"/>
  <c r="E45" i="17"/>
  <c r="F42" i="17"/>
  <c r="F43" i="17"/>
  <c r="F45" i="17"/>
  <c r="G42" i="17"/>
  <c r="D222" i="8"/>
  <c r="D227" i="8"/>
  <c r="D162" i="8"/>
  <c r="D160" i="8"/>
  <c r="F159" i="6"/>
  <c r="F163" i="6"/>
  <c r="E165" i="6"/>
  <c r="D251" i="12"/>
  <c r="D258" i="12"/>
  <c r="H80" i="6"/>
  <c r="H36" i="6"/>
  <c r="H185" i="3"/>
  <c r="E308" i="6"/>
  <c r="B144" i="12"/>
  <c r="D141" i="12"/>
  <c r="E141" i="12"/>
  <c r="H278" i="6"/>
  <c r="G302" i="6"/>
  <c r="G301" i="6"/>
  <c r="G303" i="6"/>
  <c r="H300" i="6"/>
  <c r="G284" i="6"/>
  <c r="G296" i="6"/>
  <c r="D285" i="6"/>
  <c r="D307" i="6"/>
  <c r="D82" i="6"/>
  <c r="D38" i="6"/>
  <c r="E150" i="12"/>
  <c r="E433" i="6"/>
  <c r="E421" i="6"/>
  <c r="D278" i="8"/>
  <c r="D103" i="8"/>
  <c r="D256" i="8"/>
  <c r="F44" i="8"/>
  <c r="D44" i="8"/>
  <c r="E45" i="8"/>
  <c r="E43" i="8"/>
  <c r="E44" i="8"/>
  <c r="D45" i="8"/>
  <c r="D43" i="8"/>
  <c r="F45" i="8"/>
  <c r="F43" i="8"/>
  <c r="B160" i="12"/>
  <c r="D157" i="12"/>
  <c r="D37" i="17"/>
  <c r="D39" i="17"/>
  <c r="E36" i="17"/>
  <c r="E37" i="17"/>
  <c r="E39" i="17"/>
  <c r="F36" i="17"/>
  <c r="E143" i="6"/>
  <c r="E179" i="6"/>
  <c r="E180" i="8"/>
  <c r="F308" i="6"/>
  <c r="H81" i="6"/>
  <c r="H37" i="6"/>
  <c r="F417" i="6"/>
  <c r="G391" i="6"/>
  <c r="D90" i="12"/>
  <c r="E90" i="12"/>
  <c r="B152" i="12"/>
  <c r="D60" i="12"/>
  <c r="D149" i="12"/>
  <c r="D152" i="12"/>
  <c r="F214" i="8"/>
  <c r="F219" i="8"/>
  <c r="F152" i="8"/>
  <c r="C18" i="13"/>
  <c r="E216" i="12"/>
  <c r="I18" i="13"/>
  <c r="I46" i="13"/>
  <c r="J145" i="4"/>
  <c r="E186" i="12"/>
  <c r="E171" i="12"/>
  <c r="F174" i="12"/>
  <c r="F186" i="12"/>
  <c r="F171" i="12"/>
  <c r="G174" i="12"/>
  <c r="F252" i="12"/>
  <c r="H206" i="12"/>
  <c r="I206" i="12"/>
  <c r="F193" i="12"/>
  <c r="F204" i="12"/>
  <c r="G27" i="4"/>
  <c r="G16" i="17"/>
  <c r="G205" i="12"/>
  <c r="E16" i="17"/>
  <c r="E27" i="4"/>
  <c r="H254" i="12"/>
  <c r="I254" i="12"/>
  <c r="G186" i="12"/>
  <c r="G171" i="12"/>
  <c r="H174" i="12"/>
  <c r="B194" i="12"/>
  <c r="I218" i="12"/>
  <c r="G217" i="12"/>
  <c r="F18" i="17"/>
  <c r="F27" i="4"/>
  <c r="E192" i="12"/>
  <c r="F192" i="12"/>
  <c r="D61" i="20"/>
  <c r="E61" i="20"/>
  <c r="E36" i="20"/>
  <c r="G36" i="20"/>
  <c r="F36" i="20"/>
  <c r="F5" i="20"/>
  <c r="J5" i="20"/>
  <c r="I24" i="4"/>
  <c r="I18" i="17"/>
  <c r="I38" i="17"/>
  <c r="J22" i="4"/>
  <c r="J16" i="17"/>
  <c r="J26" i="4"/>
  <c r="J20" i="17"/>
  <c r="J50" i="17"/>
  <c r="I16" i="4"/>
  <c r="I6" i="12"/>
  <c r="J49" i="4"/>
  <c r="J8" i="12"/>
  <c r="I40" i="4"/>
  <c r="I7" i="12"/>
  <c r="I52" i="13"/>
  <c r="J25" i="4"/>
  <c r="J19" i="17"/>
  <c r="J44" i="17"/>
  <c r="I22" i="4"/>
  <c r="I16" i="17"/>
  <c r="I26" i="17"/>
  <c r="I180" i="12"/>
  <c r="B196" i="12"/>
  <c r="I196" i="12"/>
  <c r="J196" i="12"/>
  <c r="I26" i="4"/>
  <c r="I20" i="17"/>
  <c r="I50" i="17"/>
  <c r="I185" i="12"/>
  <c r="B256" i="12"/>
  <c r="I256" i="12"/>
  <c r="J256" i="12"/>
  <c r="K256" i="12"/>
  <c r="I181" i="12"/>
  <c r="B208" i="12"/>
  <c r="I208" i="12"/>
  <c r="J208" i="12"/>
  <c r="K208" i="12"/>
  <c r="L208" i="12"/>
  <c r="J185" i="12"/>
  <c r="B257" i="12"/>
  <c r="J257" i="12"/>
  <c r="K257" i="12"/>
  <c r="L257" i="12"/>
  <c r="J181" i="12"/>
  <c r="B209" i="12"/>
  <c r="J209" i="12"/>
  <c r="K209" i="12"/>
  <c r="L209" i="12"/>
  <c r="J24" i="4"/>
  <c r="J18" i="17"/>
  <c r="J38" i="17"/>
  <c r="J40" i="4"/>
  <c r="J7" i="12"/>
  <c r="J52" i="13"/>
  <c r="J16" i="4"/>
  <c r="J6" i="12"/>
  <c r="I49" i="4"/>
  <c r="I8" i="12"/>
  <c r="J180" i="12"/>
  <c r="B197" i="12"/>
  <c r="H27" i="4"/>
  <c r="K243" i="12"/>
  <c r="I255" i="12"/>
  <c r="J255" i="12"/>
  <c r="I219" i="12"/>
  <c r="J219" i="12"/>
  <c r="K219" i="12"/>
  <c r="H186" i="12"/>
  <c r="H171" i="12"/>
  <c r="I174" i="12"/>
  <c r="G158" i="12"/>
  <c r="H158" i="12"/>
  <c r="I158" i="12"/>
  <c r="E46" i="8"/>
  <c r="E54" i="8"/>
  <c r="E214" i="8"/>
  <c r="E219" i="8"/>
  <c r="E152" i="8"/>
  <c r="E149" i="12"/>
  <c r="F149" i="12"/>
  <c r="G149" i="12"/>
  <c r="H149" i="12"/>
  <c r="E203" i="12"/>
  <c r="E210" i="12"/>
  <c r="G135" i="12"/>
  <c r="H135" i="12"/>
  <c r="I135" i="12"/>
  <c r="G151" i="12"/>
  <c r="H151" i="12"/>
  <c r="I151" i="12"/>
  <c r="K253" i="12"/>
  <c r="L253" i="12"/>
  <c r="M253" i="12"/>
  <c r="N253" i="12"/>
  <c r="E251" i="12"/>
  <c r="H295" i="6"/>
  <c r="H297" i="6"/>
  <c r="D155" i="8"/>
  <c r="E149" i="8"/>
  <c r="H302" i="6"/>
  <c r="H301" i="6"/>
  <c r="H303" i="6"/>
  <c r="H296" i="6"/>
  <c r="H284" i="6"/>
  <c r="F46" i="8"/>
  <c r="F54" i="8"/>
  <c r="I23" i="13"/>
  <c r="I24" i="13"/>
  <c r="J23" i="13"/>
  <c r="J24" i="13"/>
  <c r="E23" i="13"/>
  <c r="E24" i="13"/>
  <c r="E10" i="14"/>
  <c r="I5" i="8"/>
  <c r="I6" i="8"/>
  <c r="H5" i="8"/>
  <c r="H6" i="8"/>
  <c r="H18" i="8"/>
  <c r="D23" i="13"/>
  <c r="H23" i="13"/>
  <c r="H24" i="13"/>
  <c r="H10" i="14"/>
  <c r="F23" i="13"/>
  <c r="F24" i="13"/>
  <c r="F10" i="14"/>
  <c r="J5" i="8"/>
  <c r="J6" i="8"/>
  <c r="G5" i="8"/>
  <c r="G6" i="8"/>
  <c r="F18" i="8"/>
  <c r="E18" i="8"/>
  <c r="D18" i="8"/>
  <c r="K5" i="8"/>
  <c r="K6" i="8"/>
  <c r="G23" i="13"/>
  <c r="G24" i="13"/>
  <c r="G10" i="14"/>
  <c r="D136" i="12"/>
  <c r="E174" i="12"/>
  <c r="F139" i="6"/>
  <c r="E145" i="6"/>
  <c r="E185" i="6"/>
  <c r="E183" i="6"/>
  <c r="D280" i="8"/>
  <c r="E253" i="8"/>
  <c r="E143" i="12"/>
  <c r="F143" i="12"/>
  <c r="D191" i="12"/>
  <c r="D198" i="12"/>
  <c r="D160" i="12"/>
  <c r="D46" i="8"/>
  <c r="D54" i="8"/>
  <c r="D206" i="8"/>
  <c r="D211" i="8"/>
  <c r="D142" i="8"/>
  <c r="D182" i="8"/>
  <c r="D81" i="8"/>
  <c r="D180" i="8"/>
  <c r="D143" i="8"/>
  <c r="E206" i="8"/>
  <c r="E211" i="8"/>
  <c r="E142" i="8"/>
  <c r="E182" i="8"/>
  <c r="E81" i="8"/>
  <c r="F206" i="8"/>
  <c r="F211" i="8"/>
  <c r="F142" i="8"/>
  <c r="F182" i="8"/>
  <c r="F81" i="8"/>
  <c r="D309" i="6"/>
  <c r="E282" i="6"/>
  <c r="G418" i="6"/>
  <c r="H392" i="6"/>
  <c r="H418" i="6"/>
  <c r="B163" i="12"/>
  <c r="D126" i="12"/>
  <c r="D40" i="12"/>
  <c r="G175" i="6"/>
  <c r="H169" i="6"/>
  <c r="H173" i="6"/>
  <c r="H175" i="6"/>
  <c r="F91" i="12"/>
  <c r="G91" i="12"/>
  <c r="E35" i="6"/>
  <c r="E16" i="6"/>
  <c r="E107" i="12"/>
  <c r="F159" i="12"/>
  <c r="G159" i="12"/>
  <c r="E98" i="12"/>
  <c r="F134" i="12"/>
  <c r="F165" i="6"/>
  <c r="G159" i="6"/>
  <c r="G163" i="6"/>
  <c r="D31" i="17"/>
  <c r="D33" i="17"/>
  <c r="E30" i="17"/>
  <c r="E31" i="17"/>
  <c r="E33" i="17"/>
  <c r="F30" i="17"/>
  <c r="F31" i="17"/>
  <c r="F33" i="17"/>
  <c r="G30" i="17"/>
  <c r="G31" i="17"/>
  <c r="G33" i="17"/>
  <c r="H30" i="17"/>
  <c r="H387" i="6"/>
  <c r="H413" i="6"/>
  <c r="G413" i="6"/>
  <c r="K99" i="12"/>
  <c r="D26" i="17"/>
  <c r="D57" i="17"/>
  <c r="D21" i="17"/>
  <c r="F142" i="12"/>
  <c r="G142" i="12"/>
  <c r="F90" i="12"/>
  <c r="G90" i="12"/>
  <c r="F421" i="6"/>
  <c r="E157" i="12"/>
  <c r="G290" i="6"/>
  <c r="D163" i="8"/>
  <c r="B105" i="12"/>
  <c r="G431" i="6"/>
  <c r="H405" i="6"/>
  <c r="H431" i="6"/>
  <c r="B113" i="12"/>
  <c r="D173" i="8"/>
  <c r="D35" i="6"/>
  <c r="D41" i="6"/>
  <c r="D16" i="6"/>
  <c r="E106" i="12"/>
  <c r="E133" i="12"/>
  <c r="H114" i="12"/>
  <c r="I114" i="12"/>
  <c r="F150" i="12"/>
  <c r="D222" i="12"/>
  <c r="E215" i="12"/>
  <c r="E222" i="12"/>
  <c r="D66" i="6"/>
  <c r="D79" i="6"/>
  <c r="D85" i="6"/>
  <c r="D144" i="12"/>
  <c r="G428" i="6"/>
  <c r="G433" i="6"/>
  <c r="H402" i="6"/>
  <c r="H428" i="6"/>
  <c r="H433" i="6"/>
  <c r="H385" i="6"/>
  <c r="H411" i="6"/>
  <c r="G411" i="6"/>
  <c r="F155" i="6"/>
  <c r="G149" i="6"/>
  <c r="G153" i="6"/>
  <c r="H398" i="6"/>
  <c r="H424" i="6"/>
  <c r="H426" i="6"/>
  <c r="G424" i="6"/>
  <c r="G426" i="6"/>
  <c r="H391" i="6"/>
  <c r="H417" i="6"/>
  <c r="H421" i="6"/>
  <c r="G417" i="6"/>
  <c r="G421" i="6"/>
  <c r="F141" i="12"/>
  <c r="G141" i="12"/>
  <c r="G43" i="17"/>
  <c r="G45" i="17"/>
  <c r="H42" i="17"/>
  <c r="H43" i="17"/>
  <c r="H45" i="17"/>
  <c r="I42" i="17"/>
  <c r="I43" i="17"/>
  <c r="I45" i="17"/>
  <c r="J42" i="17"/>
  <c r="F415" i="6"/>
  <c r="F435" i="6"/>
  <c r="H115" i="12"/>
  <c r="F216" i="12"/>
  <c r="G216" i="12"/>
  <c r="G252" i="12"/>
  <c r="J17" i="17"/>
  <c r="J32" i="17"/>
  <c r="G194" i="12"/>
  <c r="H194" i="12"/>
  <c r="F38" i="17"/>
  <c r="F21" i="17"/>
  <c r="J218" i="12"/>
  <c r="K218" i="12"/>
  <c r="G193" i="12"/>
  <c r="H205" i="12"/>
  <c r="H49" i="17"/>
  <c r="H51" i="17"/>
  <c r="I48" i="17"/>
  <c r="J206" i="12"/>
  <c r="H26" i="17"/>
  <c r="H57" i="17"/>
  <c r="H21" i="17"/>
  <c r="J195" i="12"/>
  <c r="K195" i="12"/>
  <c r="G21" i="17"/>
  <c r="G26" i="17"/>
  <c r="G57" i="17"/>
  <c r="G192" i="12"/>
  <c r="H192" i="12"/>
  <c r="E21" i="17"/>
  <c r="E26" i="17"/>
  <c r="J254" i="12"/>
  <c r="H217" i="12"/>
  <c r="G204" i="12"/>
  <c r="I207" i="12"/>
  <c r="K245" i="12"/>
  <c r="D63" i="20"/>
  <c r="E63" i="20"/>
  <c r="K233" i="12"/>
  <c r="L233" i="12"/>
  <c r="M233" i="12"/>
  <c r="D49" i="20"/>
  <c r="E49" i="20"/>
  <c r="D62" i="20"/>
  <c r="E62" i="20"/>
  <c r="E64" i="20"/>
  <c r="D48" i="20"/>
  <c r="E48" i="20"/>
  <c r="E50" i="20"/>
  <c r="L245" i="12"/>
  <c r="M245" i="12"/>
  <c r="N245" i="12"/>
  <c r="J27" i="4"/>
  <c r="B222" i="12"/>
  <c r="K221" i="12"/>
  <c r="L221" i="12"/>
  <c r="M221" i="12"/>
  <c r="B234" i="12"/>
  <c r="B198" i="12"/>
  <c r="J197" i="12"/>
  <c r="K197" i="12"/>
  <c r="B246" i="12"/>
  <c r="B210" i="12"/>
  <c r="M257" i="12"/>
  <c r="N257" i="12"/>
  <c r="J186" i="12"/>
  <c r="J171" i="12"/>
  <c r="K174" i="12"/>
  <c r="I57" i="17"/>
  <c r="B258" i="12"/>
  <c r="I27" i="4"/>
  <c r="I186" i="12"/>
  <c r="I171" i="12"/>
  <c r="J174" i="12"/>
  <c r="L256" i="12"/>
  <c r="M256" i="12"/>
  <c r="K231" i="12"/>
  <c r="L231" i="12"/>
  <c r="I21" i="17"/>
  <c r="L219" i="12"/>
  <c r="M219" i="12"/>
  <c r="N219" i="12"/>
  <c r="M209" i="12"/>
  <c r="N209" i="12"/>
  <c r="I18" i="8"/>
  <c r="F203" i="12"/>
  <c r="F210" i="12"/>
  <c r="E152" i="12"/>
  <c r="J158" i="12"/>
  <c r="K158" i="12"/>
  <c r="E153" i="8"/>
  <c r="E155" i="8"/>
  <c r="B97" i="12"/>
  <c r="D97" i="12"/>
  <c r="D100" i="12"/>
  <c r="D34" i="12"/>
  <c r="F55" i="8"/>
  <c r="E258" i="12"/>
  <c r="E191" i="12"/>
  <c r="E198" i="12"/>
  <c r="F251" i="12"/>
  <c r="E53" i="6"/>
  <c r="E69" i="6"/>
  <c r="E70" i="6"/>
  <c r="E83" i="6"/>
  <c r="E39" i="6"/>
  <c r="B108" i="12"/>
  <c r="D50" i="12"/>
  <c r="D105" i="12"/>
  <c r="D108" i="12"/>
  <c r="L99" i="12"/>
  <c r="M99" i="12"/>
  <c r="E306" i="6"/>
  <c r="E283" i="6"/>
  <c r="E307" i="6"/>
  <c r="E82" i="6"/>
  <c r="E38" i="6"/>
  <c r="G143" i="12"/>
  <c r="G144" i="12"/>
  <c r="D24" i="13"/>
  <c r="H90" i="12"/>
  <c r="J21" i="17"/>
  <c r="G134" i="12"/>
  <c r="F157" i="12"/>
  <c r="F160" i="12"/>
  <c r="D55" i="8"/>
  <c r="E55" i="8"/>
  <c r="E277" i="8"/>
  <c r="E254" i="8"/>
  <c r="E278" i="8"/>
  <c r="E103" i="8"/>
  <c r="H216" i="12"/>
  <c r="I216" i="12"/>
  <c r="H142" i="12"/>
  <c r="F106" i="12"/>
  <c r="G289" i="6"/>
  <c r="G291" i="6"/>
  <c r="H288" i="6"/>
  <c r="G308" i="6"/>
  <c r="F107" i="12"/>
  <c r="G107" i="12"/>
  <c r="B89" i="12"/>
  <c r="D184" i="3"/>
  <c r="D26" i="8"/>
  <c r="D27" i="8"/>
  <c r="D42" i="6"/>
  <c r="E160" i="12"/>
  <c r="K60" i="8"/>
  <c r="K61" i="8"/>
  <c r="K65" i="8"/>
  <c r="K14" i="8"/>
  <c r="K16" i="8"/>
  <c r="J60" i="8"/>
  <c r="I60" i="8"/>
  <c r="H60" i="8"/>
  <c r="F60" i="8"/>
  <c r="G60" i="8"/>
  <c r="E136" i="12"/>
  <c r="E44" i="12"/>
  <c r="F133" i="12"/>
  <c r="F143" i="6"/>
  <c r="F179" i="6"/>
  <c r="E169" i="8"/>
  <c r="E173" i="8"/>
  <c r="D175" i="8"/>
  <c r="F152" i="12"/>
  <c r="G150" i="12"/>
  <c r="H150" i="12"/>
  <c r="E144" i="12"/>
  <c r="D163" i="12"/>
  <c r="D127" i="12"/>
  <c r="D44" i="12"/>
  <c r="D45" i="12"/>
  <c r="E40" i="12"/>
  <c r="J151" i="12"/>
  <c r="I115" i="12"/>
  <c r="J115" i="12"/>
  <c r="F215" i="12"/>
  <c r="H159" i="12"/>
  <c r="I159" i="12"/>
  <c r="I149" i="12"/>
  <c r="G155" i="6"/>
  <c r="H149" i="6"/>
  <c r="H153" i="6"/>
  <c r="H155" i="6"/>
  <c r="D86" i="6"/>
  <c r="E84" i="6"/>
  <c r="J114" i="12"/>
  <c r="K114" i="12"/>
  <c r="J135" i="12"/>
  <c r="K135" i="12"/>
  <c r="B116" i="12"/>
  <c r="D70" i="12"/>
  <c r="D113" i="12"/>
  <c r="D116" i="12"/>
  <c r="D74" i="12"/>
  <c r="E159" i="8"/>
  <c r="E163" i="8"/>
  <c r="D165" i="8"/>
  <c r="E41" i="6"/>
  <c r="E129" i="12"/>
  <c r="D183" i="8"/>
  <c r="E139" i="8"/>
  <c r="D145" i="8"/>
  <c r="F35" i="6"/>
  <c r="F16" i="6"/>
  <c r="F144" i="12"/>
  <c r="H141" i="12"/>
  <c r="G415" i="6"/>
  <c r="G435" i="6"/>
  <c r="G165" i="6"/>
  <c r="H159" i="6"/>
  <c r="H163" i="6"/>
  <c r="H165" i="6"/>
  <c r="H91" i="12"/>
  <c r="J18" i="8"/>
  <c r="K18" i="8"/>
  <c r="H415" i="6"/>
  <c r="H435" i="6"/>
  <c r="D261" i="12"/>
  <c r="D172" i="12"/>
  <c r="D173" i="12"/>
  <c r="E170" i="12"/>
  <c r="F98" i="12"/>
  <c r="H290" i="6"/>
  <c r="H308" i="6"/>
  <c r="J26" i="17"/>
  <c r="J57" i="17"/>
  <c r="H252" i="12"/>
  <c r="I252" i="12"/>
  <c r="J43" i="17"/>
  <c r="J45" i="17"/>
  <c r="K42" i="17"/>
  <c r="H7" i="20"/>
  <c r="L195" i="12"/>
  <c r="I205" i="12"/>
  <c r="J205" i="12"/>
  <c r="I217" i="12"/>
  <c r="J217" i="12"/>
  <c r="K196" i="12"/>
  <c r="H193" i="12"/>
  <c r="I193" i="12"/>
  <c r="K229" i="12"/>
  <c r="L229" i="12"/>
  <c r="E57" i="17"/>
  <c r="O253" i="12"/>
  <c r="P253" i="12"/>
  <c r="J207" i="12"/>
  <c r="I194" i="12"/>
  <c r="J10" i="14"/>
  <c r="H204" i="12"/>
  <c r="K220" i="12"/>
  <c r="L220" i="12"/>
  <c r="I49" i="17"/>
  <c r="I51" i="17"/>
  <c r="J48" i="17"/>
  <c r="K254" i="12"/>
  <c r="H31" i="17"/>
  <c r="H33" i="17"/>
  <c r="I30" i="17"/>
  <c r="K255" i="12"/>
  <c r="L243" i="12"/>
  <c r="K206" i="12"/>
  <c r="M208" i="12"/>
  <c r="F37" i="17"/>
  <c r="F39" i="17"/>
  <c r="G36" i="17"/>
  <c r="F57" i="17"/>
  <c r="I10" i="14"/>
  <c r="K242" i="12"/>
  <c r="L242" i="12"/>
  <c r="I192" i="12"/>
  <c r="L218" i="12"/>
  <c r="K244" i="12"/>
  <c r="L244" i="12"/>
  <c r="M244" i="12"/>
  <c r="N233" i="12"/>
  <c r="O233" i="12"/>
  <c r="G64" i="20"/>
  <c r="F64" i="20"/>
  <c r="F7" i="20"/>
  <c r="J7" i="20"/>
  <c r="K232" i="12"/>
  <c r="F50" i="20"/>
  <c r="F6" i="20"/>
  <c r="J6" i="20"/>
  <c r="O245" i="12"/>
  <c r="P245" i="12"/>
  <c r="Q245" i="12"/>
  <c r="R245" i="12"/>
  <c r="S245" i="12"/>
  <c r="N221" i="12"/>
  <c r="M231" i="12"/>
  <c r="N231" i="12"/>
  <c r="O257" i="12"/>
  <c r="P257" i="12"/>
  <c r="Q257" i="12"/>
  <c r="N256" i="12"/>
  <c r="O256" i="12"/>
  <c r="B261" i="12"/>
  <c r="O219" i="12"/>
  <c r="P219" i="12"/>
  <c r="O209" i="12"/>
  <c r="P209" i="12"/>
  <c r="Q209" i="12"/>
  <c r="R209" i="12"/>
  <c r="S209" i="12"/>
  <c r="T209" i="12"/>
  <c r="U209" i="12"/>
  <c r="V209" i="12"/>
  <c r="G203" i="12"/>
  <c r="H203" i="12"/>
  <c r="I203" i="12"/>
  <c r="G157" i="12"/>
  <c r="G160" i="12"/>
  <c r="L158" i="12"/>
  <c r="M158" i="12"/>
  <c r="B100" i="12"/>
  <c r="D30" i="12"/>
  <c r="D35" i="12"/>
  <c r="E30" i="12"/>
  <c r="F149" i="8"/>
  <c r="F153" i="8"/>
  <c r="F155" i="8"/>
  <c r="E113" i="12"/>
  <c r="E116" i="12"/>
  <c r="E74" i="12"/>
  <c r="K115" i="12"/>
  <c r="L115" i="12"/>
  <c r="F191" i="12"/>
  <c r="F198" i="12"/>
  <c r="E97" i="12"/>
  <c r="E100" i="12"/>
  <c r="E34" i="12"/>
  <c r="F258" i="12"/>
  <c r="E45" i="12"/>
  <c r="F40" i="12"/>
  <c r="G210" i="12"/>
  <c r="G152" i="12"/>
  <c r="G251" i="12"/>
  <c r="G258" i="12"/>
  <c r="K240" i="12"/>
  <c r="L240" i="12"/>
  <c r="J252" i="12"/>
  <c r="K252" i="12"/>
  <c r="K228" i="12"/>
  <c r="L228" i="12"/>
  <c r="M228" i="12"/>
  <c r="J159" i="12"/>
  <c r="K159" i="12"/>
  <c r="G215" i="12"/>
  <c r="G222" i="12"/>
  <c r="E42" i="6"/>
  <c r="E184" i="3"/>
  <c r="E26" i="8"/>
  <c r="E27" i="8"/>
  <c r="D75" i="12"/>
  <c r="E70" i="12"/>
  <c r="I91" i="12"/>
  <c r="J91" i="12"/>
  <c r="D185" i="8"/>
  <c r="E175" i="8"/>
  <c r="F169" i="8"/>
  <c r="F173" i="8"/>
  <c r="F175" i="8"/>
  <c r="H107" i="12"/>
  <c r="I90" i="12"/>
  <c r="N99" i="12"/>
  <c r="G16" i="6"/>
  <c r="G35" i="6"/>
  <c r="B92" i="12"/>
  <c r="D89" i="12"/>
  <c r="D92" i="12"/>
  <c r="H134" i="12"/>
  <c r="G98" i="12"/>
  <c r="J149" i="12"/>
  <c r="K149" i="12"/>
  <c r="L149" i="12"/>
  <c r="I150" i="12"/>
  <c r="H157" i="12"/>
  <c r="I157" i="12"/>
  <c r="I160" i="12"/>
  <c r="E285" i="6"/>
  <c r="D128" i="12"/>
  <c r="E126" i="12"/>
  <c r="D87" i="6"/>
  <c r="D92" i="6"/>
  <c r="D88" i="6"/>
  <c r="D91" i="6"/>
  <c r="D93" i="6"/>
  <c r="H152" i="12"/>
  <c r="L135" i="12"/>
  <c r="F183" i="6"/>
  <c r="G139" i="6"/>
  <c r="F145" i="6"/>
  <c r="F185" i="6"/>
  <c r="D43" i="6"/>
  <c r="D44" i="6"/>
  <c r="D45" i="6"/>
  <c r="D19" i="6"/>
  <c r="D20" i="6"/>
  <c r="F222" i="12"/>
  <c r="D58" i="8"/>
  <c r="D61" i="8"/>
  <c r="D65" i="8"/>
  <c r="D14" i="8"/>
  <c r="F58" i="8"/>
  <c r="G58" i="8"/>
  <c r="I58" i="8"/>
  <c r="H58" i="8"/>
  <c r="E58" i="8"/>
  <c r="K151" i="12"/>
  <c r="L151" i="12"/>
  <c r="M151" i="12"/>
  <c r="D10" i="14"/>
  <c r="D11" i="14"/>
  <c r="E261" i="12"/>
  <c r="E172" i="12"/>
  <c r="E173" i="12"/>
  <c r="F170" i="12"/>
  <c r="H35" i="6"/>
  <c r="H16" i="6"/>
  <c r="F136" i="12"/>
  <c r="F163" i="12"/>
  <c r="F127" i="12"/>
  <c r="H289" i="6"/>
  <c r="H291" i="6"/>
  <c r="E165" i="8"/>
  <c r="F159" i="8"/>
  <c r="F163" i="8"/>
  <c r="F165" i="8"/>
  <c r="E163" i="12"/>
  <c r="E127" i="12"/>
  <c r="E105" i="12"/>
  <c r="F105" i="12"/>
  <c r="F108" i="12"/>
  <c r="L114" i="12"/>
  <c r="M114" i="12"/>
  <c r="I142" i="12"/>
  <c r="J142" i="12"/>
  <c r="E256" i="8"/>
  <c r="E179" i="8"/>
  <c r="E143" i="8"/>
  <c r="H143" i="12"/>
  <c r="E66" i="6"/>
  <c r="E79" i="6"/>
  <c r="E85" i="6"/>
  <c r="G133" i="12"/>
  <c r="G136" i="12"/>
  <c r="H59" i="8"/>
  <c r="F59" i="8"/>
  <c r="I59" i="8"/>
  <c r="J59" i="8"/>
  <c r="J61" i="8"/>
  <c r="J65" i="8"/>
  <c r="J14" i="8"/>
  <c r="J16" i="8"/>
  <c r="E59" i="8"/>
  <c r="G59" i="8"/>
  <c r="I141" i="12"/>
  <c r="D28" i="8"/>
  <c r="D29" i="8"/>
  <c r="D32" i="8"/>
  <c r="D36" i="8"/>
  <c r="D13" i="8"/>
  <c r="G106" i="12"/>
  <c r="K205" i="12"/>
  <c r="J193" i="12"/>
  <c r="K193" i="12"/>
  <c r="L193" i="12"/>
  <c r="M220" i="12"/>
  <c r="N220" i="12"/>
  <c r="O220" i="12"/>
  <c r="P220" i="12"/>
  <c r="K43" i="17"/>
  <c r="K45" i="17"/>
  <c r="L42" i="17"/>
  <c r="J194" i="12"/>
  <c r="K194" i="12"/>
  <c r="M229" i="12"/>
  <c r="K207" i="12"/>
  <c r="L255" i="12"/>
  <c r="J49" i="17"/>
  <c r="J51" i="17"/>
  <c r="K48" i="17"/>
  <c r="H8" i="20"/>
  <c r="L206" i="12"/>
  <c r="M206" i="12"/>
  <c r="L196" i="12"/>
  <c r="M196" i="12"/>
  <c r="N196" i="12"/>
  <c r="Q253" i="12"/>
  <c r="R253" i="12"/>
  <c r="S253" i="12"/>
  <c r="T253" i="12"/>
  <c r="U253" i="12"/>
  <c r="V253" i="12"/>
  <c r="W253" i="12"/>
  <c r="X253" i="12"/>
  <c r="Y253" i="12"/>
  <c r="Z253" i="12"/>
  <c r="AA253" i="12"/>
  <c r="M195" i="12"/>
  <c r="M218" i="12"/>
  <c r="K217" i="12"/>
  <c r="L217" i="12"/>
  <c r="M242" i="12"/>
  <c r="M243" i="12"/>
  <c r="L197" i="12"/>
  <c r="M197" i="12"/>
  <c r="N208" i="12"/>
  <c r="O208" i="12"/>
  <c r="I31" i="17"/>
  <c r="I33" i="17"/>
  <c r="J30" i="17"/>
  <c r="J216" i="12"/>
  <c r="J192" i="12"/>
  <c r="K192" i="12"/>
  <c r="G37" i="17"/>
  <c r="G39" i="17"/>
  <c r="H36" i="17"/>
  <c r="L254" i="12"/>
  <c r="I204" i="12"/>
  <c r="J204" i="12"/>
  <c r="K230" i="12"/>
  <c r="P233" i="12"/>
  <c r="Q233" i="12"/>
  <c r="L232" i="12"/>
  <c r="M232" i="12"/>
  <c r="T245" i="12"/>
  <c r="U245" i="12"/>
  <c r="O231" i="12"/>
  <c r="P231" i="12"/>
  <c r="Q231" i="12"/>
  <c r="R257" i="12"/>
  <c r="S257" i="12"/>
  <c r="R233" i="12"/>
  <c r="S233" i="12"/>
  <c r="O221" i="12"/>
  <c r="P221" i="12"/>
  <c r="Q221" i="12"/>
  <c r="R221" i="12"/>
  <c r="P256" i="12"/>
  <c r="Q256" i="12"/>
  <c r="R256" i="12"/>
  <c r="S256" i="12"/>
  <c r="T256" i="12"/>
  <c r="Q219" i="12"/>
  <c r="R219" i="12"/>
  <c r="E35" i="12"/>
  <c r="F30" i="12"/>
  <c r="E75" i="12"/>
  <c r="F70" i="12"/>
  <c r="G61" i="8"/>
  <c r="G65" i="8"/>
  <c r="G14" i="8"/>
  <c r="I61" i="8"/>
  <c r="I65" i="8"/>
  <c r="I14" i="8"/>
  <c r="I16" i="8"/>
  <c r="F61" i="8"/>
  <c r="F65" i="8"/>
  <c r="F14" i="8"/>
  <c r="F113" i="12"/>
  <c r="F116" i="12"/>
  <c r="G113" i="12"/>
  <c r="F97" i="12"/>
  <c r="F74" i="12"/>
  <c r="G191" i="12"/>
  <c r="G198" i="12"/>
  <c r="G261" i="12"/>
  <c r="G172" i="12"/>
  <c r="E128" i="12"/>
  <c r="F126" i="12"/>
  <c r="F128" i="12"/>
  <c r="G126" i="12"/>
  <c r="E89" i="12"/>
  <c r="E92" i="12"/>
  <c r="E24" i="12"/>
  <c r="H251" i="12"/>
  <c r="G163" i="12"/>
  <c r="G127" i="12"/>
  <c r="H210" i="12"/>
  <c r="H215" i="12"/>
  <c r="H222" i="12"/>
  <c r="G44" i="12"/>
  <c r="J203" i="12"/>
  <c r="J210" i="12"/>
  <c r="M240" i="12"/>
  <c r="N240" i="12"/>
  <c r="L159" i="12"/>
  <c r="M159" i="12"/>
  <c r="N159" i="12"/>
  <c r="O159" i="12"/>
  <c r="P159" i="12"/>
  <c r="Q159" i="12"/>
  <c r="R159" i="12"/>
  <c r="S159" i="12"/>
  <c r="T159" i="12"/>
  <c r="U159" i="12"/>
  <c r="F253" i="8"/>
  <c r="E280" i="8"/>
  <c r="F69" i="6"/>
  <c r="F70" i="6"/>
  <c r="F83" i="6"/>
  <c r="F39" i="6"/>
  <c r="F53" i="6"/>
  <c r="O99" i="12"/>
  <c r="P99" i="12"/>
  <c r="Q99" i="12"/>
  <c r="K142" i="12"/>
  <c r="H98" i="12"/>
  <c r="I143" i="12"/>
  <c r="J143" i="12"/>
  <c r="K143" i="12"/>
  <c r="E43" i="6"/>
  <c r="E44" i="6"/>
  <c r="E45" i="6"/>
  <c r="E19" i="6"/>
  <c r="E20" i="6"/>
  <c r="M149" i="12"/>
  <c r="N149" i="12"/>
  <c r="M115" i="12"/>
  <c r="N115" i="12"/>
  <c r="O115" i="12"/>
  <c r="P115" i="12"/>
  <c r="K91" i="12"/>
  <c r="L91" i="12"/>
  <c r="M91" i="12"/>
  <c r="E183" i="8"/>
  <c r="E145" i="8"/>
  <c r="E185" i="8"/>
  <c r="F139" i="8"/>
  <c r="H61" i="8"/>
  <c r="H65" i="8"/>
  <c r="H14" i="8"/>
  <c r="B119" i="12"/>
  <c r="D82" i="12"/>
  <c r="D20" i="12"/>
  <c r="G116" i="12"/>
  <c r="G74" i="12"/>
  <c r="H113" i="12"/>
  <c r="I113" i="12"/>
  <c r="I116" i="12"/>
  <c r="G179" i="6"/>
  <c r="G143" i="6"/>
  <c r="E28" i="8"/>
  <c r="E29" i="8"/>
  <c r="E32" i="8"/>
  <c r="E36" i="8"/>
  <c r="E13" i="8"/>
  <c r="N151" i="12"/>
  <c r="O151" i="12"/>
  <c r="P151" i="12"/>
  <c r="Q151" i="12"/>
  <c r="I107" i="12"/>
  <c r="D15" i="14"/>
  <c r="E11" i="14"/>
  <c r="N114" i="12"/>
  <c r="H106" i="12"/>
  <c r="I106" i="12"/>
  <c r="J106" i="12"/>
  <c r="I98" i="12"/>
  <c r="I134" i="12"/>
  <c r="H144" i="12"/>
  <c r="M135" i="12"/>
  <c r="E108" i="12"/>
  <c r="G105" i="12"/>
  <c r="F44" i="12"/>
  <c r="F45" i="12"/>
  <c r="G40" i="12"/>
  <c r="F261" i="12"/>
  <c r="F172" i="12"/>
  <c r="D56" i="6"/>
  <c r="D95" i="6"/>
  <c r="J141" i="12"/>
  <c r="J150" i="12"/>
  <c r="K150" i="12"/>
  <c r="L150" i="12"/>
  <c r="D91" i="8"/>
  <c r="D92" i="8"/>
  <c r="D104" i="8"/>
  <c r="D106" i="8"/>
  <c r="D80" i="8"/>
  <c r="F84" i="6"/>
  <c r="E86" i="6"/>
  <c r="E309" i="6"/>
  <c r="F282" i="6"/>
  <c r="J90" i="12"/>
  <c r="K90" i="12"/>
  <c r="L90" i="12"/>
  <c r="D24" i="12"/>
  <c r="D119" i="12"/>
  <c r="D83" i="12"/>
  <c r="D9" i="12"/>
  <c r="K227" i="12"/>
  <c r="H133" i="12"/>
  <c r="E61" i="8"/>
  <c r="E65" i="8"/>
  <c r="E14" i="8"/>
  <c r="H160" i="12"/>
  <c r="J157" i="12"/>
  <c r="K239" i="12"/>
  <c r="I152" i="12"/>
  <c r="N158" i="12"/>
  <c r="L205" i="12"/>
  <c r="M205" i="12"/>
  <c r="N197" i="12"/>
  <c r="O197" i="12"/>
  <c r="L252" i="12"/>
  <c r="M252" i="12"/>
  <c r="N218" i="12"/>
  <c r="O218" i="12"/>
  <c r="P218" i="12"/>
  <c r="Q218" i="12"/>
  <c r="W209" i="12"/>
  <c r="X209" i="12"/>
  <c r="Y209" i="12"/>
  <c r="Z209" i="12"/>
  <c r="AA209" i="12"/>
  <c r="M217" i="12"/>
  <c r="N217" i="12"/>
  <c r="H37" i="17"/>
  <c r="H39" i="17"/>
  <c r="I36" i="17"/>
  <c r="K49" i="17"/>
  <c r="K51" i="17"/>
  <c r="L48" i="17"/>
  <c r="Q220" i="12"/>
  <c r="R220" i="12"/>
  <c r="S220" i="12"/>
  <c r="J31" i="17"/>
  <c r="J33" i="17"/>
  <c r="K30" i="17"/>
  <c r="P208" i="12"/>
  <c r="Q208" i="12"/>
  <c r="R208" i="12"/>
  <c r="S208" i="12"/>
  <c r="T208" i="12"/>
  <c r="U208" i="12"/>
  <c r="N244" i="12"/>
  <c r="O244" i="12"/>
  <c r="O196" i="12"/>
  <c r="P196" i="12"/>
  <c r="M193" i="12"/>
  <c r="N193" i="12"/>
  <c r="L207" i="12"/>
  <c r="L230" i="12"/>
  <c r="M230" i="12"/>
  <c r="L43" i="17"/>
  <c r="L45" i="17"/>
  <c r="M42" i="17"/>
  <c r="I210" i="12"/>
  <c r="K204" i="12"/>
  <c r="K216" i="12"/>
  <c r="L216" i="12"/>
  <c r="K241" i="12"/>
  <c r="M255" i="12"/>
  <c r="N242" i="12"/>
  <c r="O242" i="12"/>
  <c r="M254" i="12"/>
  <c r="N228" i="12"/>
  <c r="L194" i="12"/>
  <c r="L192" i="12"/>
  <c r="N243" i="12"/>
  <c r="O243" i="12"/>
  <c r="P243" i="12"/>
  <c r="Q243" i="12"/>
  <c r="N229" i="12"/>
  <c r="O229" i="12"/>
  <c r="P229" i="12"/>
  <c r="Q229" i="12"/>
  <c r="R229" i="12"/>
  <c r="S229" i="12"/>
  <c r="N206" i="12"/>
  <c r="N195" i="12"/>
  <c r="N232" i="12"/>
  <c r="O232" i="12"/>
  <c r="V245" i="12"/>
  <c r="W245" i="12"/>
  <c r="X245" i="12"/>
  <c r="Y245" i="12"/>
  <c r="Z245" i="12"/>
  <c r="AA245" i="12"/>
  <c r="T257" i="12"/>
  <c r="U257" i="12"/>
  <c r="V257" i="12"/>
  <c r="W257" i="12"/>
  <c r="X257" i="12"/>
  <c r="Y257" i="12"/>
  <c r="Z257" i="12"/>
  <c r="AA257" i="12"/>
  <c r="T233" i="12"/>
  <c r="U233" i="12"/>
  <c r="V233" i="12"/>
  <c r="W233" i="12"/>
  <c r="X233" i="12"/>
  <c r="Y233" i="12"/>
  <c r="Z233" i="12"/>
  <c r="AA233" i="12"/>
  <c r="S221" i="12"/>
  <c r="T221" i="12"/>
  <c r="U221" i="12"/>
  <c r="V221" i="12"/>
  <c r="W221" i="12"/>
  <c r="X221" i="12"/>
  <c r="Y221" i="12"/>
  <c r="Z221" i="12"/>
  <c r="AA221" i="12"/>
  <c r="F75" i="12"/>
  <c r="G70" i="12"/>
  <c r="G75" i="12"/>
  <c r="H70" i="12"/>
  <c r="G128" i="12"/>
  <c r="H126" i="12"/>
  <c r="I144" i="12"/>
  <c r="F89" i="12"/>
  <c r="R99" i="12"/>
  <c r="S99" i="12"/>
  <c r="T99" i="12"/>
  <c r="U99" i="12"/>
  <c r="V99" i="12"/>
  <c r="W99" i="12"/>
  <c r="X99" i="12"/>
  <c r="Y99" i="12"/>
  <c r="Z99" i="12"/>
  <c r="AA99" i="12"/>
  <c r="H191" i="12"/>
  <c r="H198" i="12"/>
  <c r="E119" i="12"/>
  <c r="E83" i="12"/>
  <c r="E9" i="12"/>
  <c r="Q31" i="13"/>
  <c r="K203" i="12"/>
  <c r="K210" i="12"/>
  <c r="F100" i="12"/>
  <c r="F34" i="12"/>
  <c r="F35" i="12"/>
  <c r="G30" i="12"/>
  <c r="G97" i="12"/>
  <c r="H258" i="12"/>
  <c r="I251" i="12"/>
  <c r="G45" i="12"/>
  <c r="H40" i="12"/>
  <c r="L239" i="12"/>
  <c r="M239" i="12"/>
  <c r="I215" i="12"/>
  <c r="J215" i="12"/>
  <c r="D25" i="12"/>
  <c r="E20" i="12"/>
  <c r="E25" i="12"/>
  <c r="F20" i="12"/>
  <c r="K152" i="12"/>
  <c r="U256" i="12"/>
  <c r="V256" i="12"/>
  <c r="L143" i="12"/>
  <c r="M143" i="12"/>
  <c r="N143" i="12"/>
  <c r="O143" i="12"/>
  <c r="P143" i="12"/>
  <c r="L152" i="12"/>
  <c r="M150" i="12"/>
  <c r="M152" i="12"/>
  <c r="V159" i="12"/>
  <c r="W159" i="12"/>
  <c r="X159" i="12"/>
  <c r="Y159" i="12"/>
  <c r="Z159" i="12"/>
  <c r="AA159" i="12"/>
  <c r="M90" i="12"/>
  <c r="G108" i="12"/>
  <c r="H105" i="12"/>
  <c r="J107" i="12"/>
  <c r="K107" i="12"/>
  <c r="J113" i="12"/>
  <c r="G145" i="6"/>
  <c r="G185" i="6"/>
  <c r="H139" i="6"/>
  <c r="G183" i="6"/>
  <c r="D37" i="13"/>
  <c r="P31" i="13"/>
  <c r="AA31" i="13"/>
  <c r="D107" i="8"/>
  <c r="E105" i="8"/>
  <c r="J98" i="12"/>
  <c r="J134" i="12"/>
  <c r="K234" i="12"/>
  <c r="F11" i="14"/>
  <c r="E15" i="14"/>
  <c r="F277" i="8"/>
  <c r="F254" i="8"/>
  <c r="F278" i="8"/>
  <c r="F103" i="8"/>
  <c r="J160" i="12"/>
  <c r="K157" i="12"/>
  <c r="I105" i="12"/>
  <c r="I108" i="12"/>
  <c r="F173" i="12"/>
  <c r="G170" i="12"/>
  <c r="G173" i="12"/>
  <c r="H170" i="12"/>
  <c r="R151" i="12"/>
  <c r="S151" i="12"/>
  <c r="T151" i="12"/>
  <c r="U151" i="12"/>
  <c r="V151" i="12"/>
  <c r="W151" i="12"/>
  <c r="X151" i="12"/>
  <c r="O114" i="12"/>
  <c r="F143" i="8"/>
  <c r="F179" i="8"/>
  <c r="K106" i="12"/>
  <c r="L227" i="12"/>
  <c r="M227" i="12"/>
  <c r="N227" i="12"/>
  <c r="E87" i="6"/>
  <c r="E92" i="6"/>
  <c r="E91" i="6"/>
  <c r="D5" i="12"/>
  <c r="D84" i="12"/>
  <c r="E82" i="12"/>
  <c r="E84" i="12"/>
  <c r="F82" i="12"/>
  <c r="F66" i="6"/>
  <c r="F79" i="6"/>
  <c r="F85" i="6"/>
  <c r="H136" i="12"/>
  <c r="I133" i="12"/>
  <c r="I136" i="12"/>
  <c r="D10" i="6"/>
  <c r="D57" i="6"/>
  <c r="D7" i="6"/>
  <c r="D11" i="6"/>
  <c r="N135" i="12"/>
  <c r="N252" i="12"/>
  <c r="O252" i="12"/>
  <c r="O158" i="12"/>
  <c r="F283" i="6"/>
  <c r="F307" i="6"/>
  <c r="F82" i="6"/>
  <c r="F38" i="6"/>
  <c r="F41" i="6"/>
  <c r="F285" i="6"/>
  <c r="F306" i="6"/>
  <c r="L142" i="12"/>
  <c r="M142" i="12"/>
  <c r="N142" i="12"/>
  <c r="O142" i="12"/>
  <c r="P142" i="12"/>
  <c r="Q142" i="12"/>
  <c r="R142" i="12"/>
  <c r="S142" i="12"/>
  <c r="T142" i="12"/>
  <c r="U142" i="12"/>
  <c r="V142" i="12"/>
  <c r="W142" i="12"/>
  <c r="X142" i="12"/>
  <c r="Y142" i="12"/>
  <c r="N91" i="12"/>
  <c r="O91" i="12"/>
  <c r="P91" i="12"/>
  <c r="Q91" i="12"/>
  <c r="J144" i="12"/>
  <c r="K141" i="12"/>
  <c r="J152" i="12"/>
  <c r="O149" i="12"/>
  <c r="H116" i="12"/>
  <c r="E80" i="8"/>
  <c r="E91" i="8"/>
  <c r="E92" i="8"/>
  <c r="E104" i="8"/>
  <c r="Q115" i="12"/>
  <c r="R115" i="12"/>
  <c r="S115" i="12"/>
  <c r="T115" i="12"/>
  <c r="U115" i="12"/>
  <c r="V115" i="12"/>
  <c r="W115" i="12"/>
  <c r="X115" i="12"/>
  <c r="Y115" i="12"/>
  <c r="Z115" i="12"/>
  <c r="AA115" i="12"/>
  <c r="N205" i="12"/>
  <c r="O205" i="12"/>
  <c r="P205" i="12"/>
  <c r="O217" i="12"/>
  <c r="P217" i="12"/>
  <c r="Q217" i="12"/>
  <c r="R217" i="12"/>
  <c r="S217" i="12"/>
  <c r="T217" i="12"/>
  <c r="U217" i="12"/>
  <c r="V217" i="12"/>
  <c r="W217" i="12"/>
  <c r="X217" i="12"/>
  <c r="Y217" i="12"/>
  <c r="Z217" i="12"/>
  <c r="AA217" i="12"/>
  <c r="R231" i="12"/>
  <c r="Q196" i="12"/>
  <c r="R196" i="12"/>
  <c r="N230" i="12"/>
  <c r="O230" i="12"/>
  <c r="R218" i="12"/>
  <c r="S218" i="12"/>
  <c r="T218" i="12"/>
  <c r="U218" i="12"/>
  <c r="V218" i="12"/>
  <c r="W218" i="12"/>
  <c r="X218" i="12"/>
  <c r="Y218" i="12"/>
  <c r="Z218" i="12"/>
  <c r="AA218" i="12"/>
  <c r="I37" i="17"/>
  <c r="I39" i="17"/>
  <c r="J36" i="17"/>
  <c r="P242" i="12"/>
  <c r="Q242" i="12"/>
  <c r="L204" i="12"/>
  <c r="M43" i="17"/>
  <c r="M45" i="17"/>
  <c r="N42" i="17"/>
  <c r="S219" i="12"/>
  <c r="T219" i="12"/>
  <c r="U219" i="12"/>
  <c r="N254" i="12"/>
  <c r="K31" i="17"/>
  <c r="K33" i="17"/>
  <c r="L30" i="17"/>
  <c r="P244" i="12"/>
  <c r="O195" i="12"/>
  <c r="P195" i="12"/>
  <c r="Q195" i="12"/>
  <c r="R195" i="12"/>
  <c r="S195" i="12"/>
  <c r="T195" i="12"/>
  <c r="U195" i="12"/>
  <c r="T220" i="12"/>
  <c r="U220" i="12"/>
  <c r="V220" i="12"/>
  <c r="W220" i="12"/>
  <c r="X220" i="12"/>
  <c r="Y220" i="12"/>
  <c r="Z220" i="12"/>
  <c r="AA220" i="12"/>
  <c r="R243" i="12"/>
  <c r="S243" i="12"/>
  <c r="T243" i="12"/>
  <c r="U243" i="12"/>
  <c r="V243" i="12"/>
  <c r="W243" i="12"/>
  <c r="X243" i="12"/>
  <c r="Y243" i="12"/>
  <c r="Z243" i="12"/>
  <c r="AA243" i="12"/>
  <c r="V208" i="12"/>
  <c r="W208" i="12"/>
  <c r="X208" i="12"/>
  <c r="Y208" i="12"/>
  <c r="Z208" i="12"/>
  <c r="AA208" i="12"/>
  <c r="T229" i="12"/>
  <c r="U229" i="12"/>
  <c r="V229" i="12"/>
  <c r="W229" i="12"/>
  <c r="X229" i="12"/>
  <c r="Y229" i="12"/>
  <c r="Z229" i="12"/>
  <c r="AA229" i="12"/>
  <c r="M194" i="12"/>
  <c r="M192" i="12"/>
  <c r="L49" i="17"/>
  <c r="L51" i="17"/>
  <c r="M48" i="17"/>
  <c r="O228" i="12"/>
  <c r="O193" i="12"/>
  <c r="L241" i="12"/>
  <c r="M241" i="12"/>
  <c r="K246" i="12"/>
  <c r="M216" i="12"/>
  <c r="N216" i="12"/>
  <c r="P197" i="12"/>
  <c r="O240" i="12"/>
  <c r="O206" i="12"/>
  <c r="P206" i="12"/>
  <c r="Q206" i="12"/>
  <c r="R206" i="12"/>
  <c r="S206" i="12"/>
  <c r="T206" i="12"/>
  <c r="U206" i="12"/>
  <c r="V206" i="12"/>
  <c r="W206" i="12"/>
  <c r="X206" i="12"/>
  <c r="Y206" i="12"/>
  <c r="Z206" i="12"/>
  <c r="AA206" i="12"/>
  <c r="N255" i="12"/>
  <c r="M207" i="12"/>
  <c r="N207" i="12"/>
  <c r="P232" i="12"/>
  <c r="Q232" i="12"/>
  <c r="R232" i="12"/>
  <c r="I163" i="12"/>
  <c r="I127" i="12"/>
  <c r="H74" i="12"/>
  <c r="H75" i="12"/>
  <c r="I70" i="12"/>
  <c r="H261" i="12"/>
  <c r="H172" i="12"/>
  <c r="H173" i="12"/>
  <c r="I170" i="12"/>
  <c r="E37" i="13"/>
  <c r="AB31" i="13"/>
  <c r="H89" i="12"/>
  <c r="H92" i="12"/>
  <c r="H24" i="12"/>
  <c r="F92" i="12"/>
  <c r="G89" i="12"/>
  <c r="G92" i="12"/>
  <c r="G24" i="12"/>
  <c r="I191" i="12"/>
  <c r="J191" i="12"/>
  <c r="J198" i="12"/>
  <c r="F256" i="8"/>
  <c r="H97" i="12"/>
  <c r="I97" i="12"/>
  <c r="I100" i="12"/>
  <c r="I34" i="12"/>
  <c r="G100" i="12"/>
  <c r="G34" i="12"/>
  <c r="G35" i="12"/>
  <c r="H30" i="12"/>
  <c r="L203" i="12"/>
  <c r="M203" i="12"/>
  <c r="K64" i="12"/>
  <c r="Q143" i="12"/>
  <c r="R143" i="12"/>
  <c r="R91" i="12"/>
  <c r="S91" i="12"/>
  <c r="T91" i="12"/>
  <c r="U91" i="12"/>
  <c r="V91" i="12"/>
  <c r="W91" i="12"/>
  <c r="X91" i="12"/>
  <c r="Y91" i="12"/>
  <c r="Z91" i="12"/>
  <c r="AA91" i="12"/>
  <c r="I258" i="12"/>
  <c r="I74" i="12"/>
  <c r="J251" i="12"/>
  <c r="K215" i="12"/>
  <c r="K222" i="12"/>
  <c r="N150" i="12"/>
  <c r="O150" i="12"/>
  <c r="P150" i="12"/>
  <c r="N239" i="12"/>
  <c r="O239" i="12"/>
  <c r="P239" i="12"/>
  <c r="Q239" i="12"/>
  <c r="R239" i="12"/>
  <c r="S239" i="12"/>
  <c r="T239" i="12"/>
  <c r="U239" i="12"/>
  <c r="V239" i="12"/>
  <c r="W239" i="12"/>
  <c r="X239" i="12"/>
  <c r="Y239" i="12"/>
  <c r="Z239" i="12"/>
  <c r="AA239" i="12"/>
  <c r="Z142" i="12"/>
  <c r="AA142" i="12"/>
  <c r="M246" i="12"/>
  <c r="M64" i="12"/>
  <c r="Y151" i="12"/>
  <c r="Z151" i="12"/>
  <c r="AA151" i="12"/>
  <c r="W256" i="12"/>
  <c r="X256" i="12"/>
  <c r="Y256" i="12"/>
  <c r="Z256" i="12"/>
  <c r="AA256" i="12"/>
  <c r="O227" i="12"/>
  <c r="P227" i="12"/>
  <c r="Q227" i="12"/>
  <c r="G282" i="6"/>
  <c r="F309" i="6"/>
  <c r="P252" i="12"/>
  <c r="Q252" i="12"/>
  <c r="J133" i="12"/>
  <c r="K133" i="12"/>
  <c r="E93" i="6"/>
  <c r="E106" i="8"/>
  <c r="E88" i="6"/>
  <c r="L106" i="12"/>
  <c r="J105" i="12"/>
  <c r="J108" i="12"/>
  <c r="H108" i="12"/>
  <c r="M234" i="12"/>
  <c r="K134" i="12"/>
  <c r="L134" i="12"/>
  <c r="M134" i="12"/>
  <c r="N134" i="12"/>
  <c r="O134" i="12"/>
  <c r="P134" i="12"/>
  <c r="Q134" i="12"/>
  <c r="J116" i="12"/>
  <c r="F86" i="6"/>
  <c r="G84" i="6"/>
  <c r="F184" i="3"/>
  <c r="F26" i="8"/>
  <c r="F27" i="8"/>
  <c r="F42" i="6"/>
  <c r="H163" i="12"/>
  <c r="H127" i="12"/>
  <c r="H128" i="12"/>
  <c r="I126" i="12"/>
  <c r="I128" i="12"/>
  <c r="J126" i="12"/>
  <c r="H44" i="12"/>
  <c r="H45" i="12"/>
  <c r="I40" i="12"/>
  <c r="F183" i="8"/>
  <c r="E85" i="12"/>
  <c r="F145" i="8"/>
  <c r="F185" i="8"/>
  <c r="G11" i="14"/>
  <c r="F15" i="14"/>
  <c r="H179" i="6"/>
  <c r="H143" i="6"/>
  <c r="L234" i="12"/>
  <c r="F119" i="12"/>
  <c r="F83" i="12"/>
  <c r="F84" i="12"/>
  <c r="G82" i="12"/>
  <c r="F24" i="12"/>
  <c r="F25" i="12"/>
  <c r="G20" i="12"/>
  <c r="P158" i="12"/>
  <c r="Q158" i="12"/>
  <c r="R158" i="12"/>
  <c r="S158" i="12"/>
  <c r="T158" i="12"/>
  <c r="U158" i="12"/>
  <c r="V158" i="12"/>
  <c r="W158" i="12"/>
  <c r="X158" i="12"/>
  <c r="Y158" i="12"/>
  <c r="Z158" i="12"/>
  <c r="AA158" i="12"/>
  <c r="L107" i="12"/>
  <c r="P149" i="12"/>
  <c r="G69" i="6"/>
  <c r="G70" i="6"/>
  <c r="G83" i="6"/>
  <c r="G39" i="6"/>
  <c r="G53" i="6"/>
  <c r="N90" i="12"/>
  <c r="O90" i="12"/>
  <c r="P90" i="12"/>
  <c r="Q90" i="12"/>
  <c r="R90" i="12"/>
  <c r="S90" i="12"/>
  <c r="T90" i="12"/>
  <c r="U90" i="12"/>
  <c r="V90" i="12"/>
  <c r="W90" i="12"/>
  <c r="X90" i="12"/>
  <c r="Y90" i="12"/>
  <c r="Z90" i="12"/>
  <c r="AA90" i="12"/>
  <c r="K98" i="12"/>
  <c r="L98" i="12"/>
  <c r="M98" i="12"/>
  <c r="N98" i="12"/>
  <c r="O98" i="12"/>
  <c r="P98" i="12"/>
  <c r="Q98" i="12"/>
  <c r="R98" i="12"/>
  <c r="S98" i="12"/>
  <c r="T98" i="12"/>
  <c r="F280" i="8"/>
  <c r="D24" i="17"/>
  <c r="K144" i="12"/>
  <c r="L141" i="12"/>
  <c r="D10" i="12"/>
  <c r="D12" i="12"/>
  <c r="D112" i="8"/>
  <c r="D108" i="8"/>
  <c r="D113" i="8"/>
  <c r="P114" i="12"/>
  <c r="Q114" i="12"/>
  <c r="R114" i="12"/>
  <c r="S114" i="12"/>
  <c r="T114" i="12"/>
  <c r="U114" i="12"/>
  <c r="V114" i="12"/>
  <c r="W114" i="12"/>
  <c r="X114" i="12"/>
  <c r="Y114" i="12"/>
  <c r="Z114" i="12"/>
  <c r="AA114" i="12"/>
  <c r="O135" i="12"/>
  <c r="K160" i="12"/>
  <c r="L157" i="12"/>
  <c r="M157" i="12"/>
  <c r="M160" i="12"/>
  <c r="K113" i="12"/>
  <c r="K116" i="12"/>
  <c r="N234" i="12"/>
  <c r="P230" i="12"/>
  <c r="Q230" i="12"/>
  <c r="R230" i="12"/>
  <c r="S230" i="12"/>
  <c r="T230" i="12"/>
  <c r="U230" i="12"/>
  <c r="V230" i="12"/>
  <c r="W230" i="12"/>
  <c r="X230" i="12"/>
  <c r="Y230" i="12"/>
  <c r="Z230" i="12"/>
  <c r="AA230" i="12"/>
  <c r="S231" i="12"/>
  <c r="T231" i="12"/>
  <c r="M204" i="12"/>
  <c r="N204" i="12"/>
  <c r="N241" i="12"/>
  <c r="V219" i="12"/>
  <c r="W219" i="12"/>
  <c r="X219" i="12"/>
  <c r="Y219" i="12"/>
  <c r="Z219" i="12"/>
  <c r="AA219" i="12"/>
  <c r="R242" i="12"/>
  <c r="S242" i="12"/>
  <c r="T242" i="12"/>
  <c r="U242" i="12"/>
  <c r="V242" i="12"/>
  <c r="W242" i="12"/>
  <c r="X242" i="12"/>
  <c r="Y242" i="12"/>
  <c r="Z242" i="12"/>
  <c r="AA242" i="12"/>
  <c r="O216" i="12"/>
  <c r="J37" i="17"/>
  <c r="J39" i="17"/>
  <c r="K36" i="17"/>
  <c r="H6" i="20"/>
  <c r="M49" i="17"/>
  <c r="M51" i="17"/>
  <c r="N48" i="17"/>
  <c r="L31" i="17"/>
  <c r="L33" i="17"/>
  <c r="M30" i="17"/>
  <c r="L246" i="12"/>
  <c r="L64" i="12"/>
  <c r="P228" i="12"/>
  <c r="N192" i="12"/>
  <c r="S196" i="12"/>
  <c r="T196" i="12"/>
  <c r="V195" i="12"/>
  <c r="W195" i="12"/>
  <c r="X195" i="12"/>
  <c r="Y195" i="12"/>
  <c r="Z195" i="12"/>
  <c r="AA195" i="12"/>
  <c r="Q197" i="12"/>
  <c r="P240" i="12"/>
  <c r="O207" i="12"/>
  <c r="P207" i="12"/>
  <c r="Q207" i="12"/>
  <c r="R207" i="12"/>
  <c r="S207" i="12"/>
  <c r="T207" i="12"/>
  <c r="U207" i="12"/>
  <c r="V207" i="12"/>
  <c r="W207" i="12"/>
  <c r="X207" i="12"/>
  <c r="Y207" i="12"/>
  <c r="Z207" i="12"/>
  <c r="AA207" i="12"/>
  <c r="Q205" i="12"/>
  <c r="R205" i="12"/>
  <c r="S205" i="12"/>
  <c r="T205" i="12"/>
  <c r="U205" i="12"/>
  <c r="V205" i="12"/>
  <c r="P193" i="12"/>
  <c r="O255" i="12"/>
  <c r="P255" i="12"/>
  <c r="Q255" i="12"/>
  <c r="R255" i="12"/>
  <c r="S255" i="12"/>
  <c r="T255" i="12"/>
  <c r="U255" i="12"/>
  <c r="V255" i="12"/>
  <c r="W255" i="12"/>
  <c r="X255" i="12"/>
  <c r="Y255" i="12"/>
  <c r="Z255" i="12"/>
  <c r="AA255" i="12"/>
  <c r="N43" i="17"/>
  <c r="N45" i="17"/>
  <c r="O42" i="17"/>
  <c r="Q244" i="12"/>
  <c r="O254" i="12"/>
  <c r="N194" i="12"/>
  <c r="S232" i="12"/>
  <c r="T232" i="12"/>
  <c r="U232" i="12"/>
  <c r="V232" i="12"/>
  <c r="W232" i="12"/>
  <c r="X232" i="12"/>
  <c r="Y232" i="12"/>
  <c r="Z232" i="12"/>
  <c r="AA232" i="12"/>
  <c r="K191" i="12"/>
  <c r="K198" i="12"/>
  <c r="I75" i="12"/>
  <c r="J70" i="12"/>
  <c r="I198" i="12"/>
  <c r="I261" i="12"/>
  <c r="I172" i="12"/>
  <c r="I173" i="12"/>
  <c r="J170" i="12"/>
  <c r="O152" i="12"/>
  <c r="I89" i="12"/>
  <c r="J89" i="12"/>
  <c r="G25" i="12"/>
  <c r="H20" i="12"/>
  <c r="H25" i="12"/>
  <c r="I20" i="12"/>
  <c r="G119" i="12"/>
  <c r="G83" i="12"/>
  <c r="G9" i="12"/>
  <c r="S31" i="13"/>
  <c r="D109" i="8"/>
  <c r="N203" i="12"/>
  <c r="O203" i="12"/>
  <c r="P203" i="12"/>
  <c r="Q203" i="12"/>
  <c r="R203" i="12"/>
  <c r="S203" i="12"/>
  <c r="T203" i="12"/>
  <c r="U203" i="12"/>
  <c r="V203" i="12"/>
  <c r="W203" i="12"/>
  <c r="X203" i="12"/>
  <c r="Y203" i="12"/>
  <c r="Z203" i="12"/>
  <c r="AA203" i="12"/>
  <c r="K97" i="12"/>
  <c r="L97" i="12"/>
  <c r="L100" i="12"/>
  <c r="Q150" i="12"/>
  <c r="R150" i="12"/>
  <c r="S150" i="12"/>
  <c r="T150" i="12"/>
  <c r="U150" i="12"/>
  <c r="V150" i="12"/>
  <c r="W150" i="12"/>
  <c r="X150" i="12"/>
  <c r="Y150" i="12"/>
  <c r="Z150" i="12"/>
  <c r="AA150" i="12"/>
  <c r="L210" i="12"/>
  <c r="N152" i="12"/>
  <c r="R227" i="12"/>
  <c r="S227" i="12"/>
  <c r="T227" i="12"/>
  <c r="U227" i="12"/>
  <c r="V227" i="12"/>
  <c r="W227" i="12"/>
  <c r="X227" i="12"/>
  <c r="Y227" i="12"/>
  <c r="Z227" i="12"/>
  <c r="AA227" i="12"/>
  <c r="H100" i="12"/>
  <c r="H34" i="12"/>
  <c r="H35" i="12"/>
  <c r="I30" i="12"/>
  <c r="I35" i="12"/>
  <c r="J30" i="12"/>
  <c r="J97" i="12"/>
  <c r="J100" i="12"/>
  <c r="J34" i="12"/>
  <c r="P152" i="12"/>
  <c r="L215" i="12"/>
  <c r="M215" i="12"/>
  <c r="K65" i="12"/>
  <c r="L60" i="12"/>
  <c r="L65" i="12"/>
  <c r="M60" i="12"/>
  <c r="M65" i="12"/>
  <c r="N60" i="12"/>
  <c r="L113" i="12"/>
  <c r="L116" i="12"/>
  <c r="K105" i="12"/>
  <c r="K108" i="12"/>
  <c r="K54" i="12"/>
  <c r="J258" i="12"/>
  <c r="J261" i="12"/>
  <c r="J172" i="12"/>
  <c r="K251" i="12"/>
  <c r="L251" i="12"/>
  <c r="R134" i="12"/>
  <c r="S134" i="12"/>
  <c r="T134" i="12"/>
  <c r="U134" i="12"/>
  <c r="V134" i="12"/>
  <c r="W134" i="12"/>
  <c r="X134" i="12"/>
  <c r="Y134" i="12"/>
  <c r="Z134" i="12"/>
  <c r="AA134" i="12"/>
  <c r="M210" i="12"/>
  <c r="D38" i="13"/>
  <c r="D39" i="13"/>
  <c r="D31" i="13"/>
  <c r="D55" i="13"/>
  <c r="P30" i="13"/>
  <c r="AA30" i="13"/>
  <c r="S143" i="12"/>
  <c r="T143" i="12"/>
  <c r="U143" i="12"/>
  <c r="V143" i="12"/>
  <c r="W143" i="12"/>
  <c r="X143" i="12"/>
  <c r="Y143" i="12"/>
  <c r="Z143" i="12"/>
  <c r="AA143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Y107" i="12"/>
  <c r="Z107" i="12"/>
  <c r="AA107" i="12"/>
  <c r="F9" i="12"/>
  <c r="F105" i="8"/>
  <c r="E107" i="8"/>
  <c r="R252" i="12"/>
  <c r="S252" i="12"/>
  <c r="L160" i="12"/>
  <c r="N157" i="12"/>
  <c r="Q149" i="12"/>
  <c r="J136" i="12"/>
  <c r="F43" i="6"/>
  <c r="F44" i="6"/>
  <c r="F45" i="6"/>
  <c r="F19" i="6"/>
  <c r="F20" i="6"/>
  <c r="F87" i="6"/>
  <c r="F92" i="6"/>
  <c r="F91" i="6"/>
  <c r="F93" i="6"/>
  <c r="L144" i="12"/>
  <c r="M141" i="12"/>
  <c r="G84" i="12"/>
  <c r="H82" i="12"/>
  <c r="D25" i="17"/>
  <c r="D56" i="17"/>
  <c r="D54" i="13"/>
  <c r="D55" i="17"/>
  <c r="U98" i="12"/>
  <c r="V98" i="12"/>
  <c r="W98" i="12"/>
  <c r="X98" i="12"/>
  <c r="Y98" i="12"/>
  <c r="Z98" i="12"/>
  <c r="AA98" i="12"/>
  <c r="H145" i="6"/>
  <c r="H185" i="6"/>
  <c r="H183" i="6"/>
  <c r="H11" i="14"/>
  <c r="G15" i="14"/>
  <c r="G306" i="6"/>
  <c r="G283" i="6"/>
  <c r="G307" i="6"/>
  <c r="G82" i="6"/>
  <c r="G38" i="6"/>
  <c r="G41" i="6"/>
  <c r="G285" i="6"/>
  <c r="O234" i="12"/>
  <c r="P135" i="12"/>
  <c r="M113" i="12"/>
  <c r="M116" i="12"/>
  <c r="F80" i="8"/>
  <c r="F91" i="8"/>
  <c r="F92" i="8"/>
  <c r="F104" i="8"/>
  <c r="F106" i="8"/>
  <c r="G66" i="6"/>
  <c r="G79" i="6"/>
  <c r="G85" i="6"/>
  <c r="M106" i="12"/>
  <c r="N106" i="12"/>
  <c r="O106" i="12"/>
  <c r="P106" i="12"/>
  <c r="F28" i="8"/>
  <c r="F29" i="8"/>
  <c r="F32" i="8"/>
  <c r="F36" i="8"/>
  <c r="F13" i="8"/>
  <c r="D114" i="8"/>
  <c r="D83" i="8"/>
  <c r="D84" i="8"/>
  <c r="D72" i="8"/>
  <c r="D73" i="8"/>
  <c r="D12" i="8"/>
  <c r="D16" i="8"/>
  <c r="K136" i="12"/>
  <c r="L133" i="12"/>
  <c r="D14" i="12"/>
  <c r="D77" i="12"/>
  <c r="E5" i="12"/>
  <c r="I92" i="12"/>
  <c r="E95" i="6"/>
  <c r="E56" i="6"/>
  <c r="P216" i="12"/>
  <c r="Q216" i="12"/>
  <c r="U231" i="12"/>
  <c r="V231" i="12"/>
  <c r="O241" i="12"/>
  <c r="N246" i="12"/>
  <c r="U196" i="12"/>
  <c r="V196" i="12"/>
  <c r="O204" i="12"/>
  <c r="W205" i="12"/>
  <c r="X205" i="12"/>
  <c r="Y205" i="12"/>
  <c r="Z205" i="12"/>
  <c r="AA205" i="12"/>
  <c r="O192" i="12"/>
  <c r="N49" i="17"/>
  <c r="N51" i="17"/>
  <c r="O48" i="17"/>
  <c r="R244" i="12"/>
  <c r="Q240" i="12"/>
  <c r="M31" i="17"/>
  <c r="M33" i="17"/>
  <c r="N30" i="17"/>
  <c r="P254" i="12"/>
  <c r="Q193" i="12"/>
  <c r="R193" i="12"/>
  <c r="S193" i="12"/>
  <c r="T193" i="12"/>
  <c r="U193" i="12"/>
  <c r="V193" i="12"/>
  <c r="W193" i="12"/>
  <c r="X193" i="12"/>
  <c r="R197" i="12"/>
  <c r="O43" i="17"/>
  <c r="O45" i="17"/>
  <c r="P42" i="17"/>
  <c r="K37" i="17"/>
  <c r="K39" i="17"/>
  <c r="L36" i="17"/>
  <c r="O194" i="12"/>
  <c r="P234" i="12"/>
  <c r="Q228" i="12"/>
  <c r="B9" i="20"/>
  <c r="G50" i="20"/>
  <c r="B24" i="20"/>
  <c r="L191" i="12"/>
  <c r="M191" i="12"/>
  <c r="L222" i="12"/>
  <c r="N210" i="12"/>
  <c r="G37" i="13"/>
  <c r="AD31" i="13"/>
  <c r="J92" i="12"/>
  <c r="K89" i="12"/>
  <c r="L89" i="12"/>
  <c r="L92" i="12"/>
  <c r="L198" i="12"/>
  <c r="K100" i="12"/>
  <c r="K34" i="12"/>
  <c r="J35" i="12"/>
  <c r="K30" i="12"/>
  <c r="H119" i="12"/>
  <c r="H83" i="12"/>
  <c r="H9" i="12"/>
  <c r="T31" i="13"/>
  <c r="M97" i="12"/>
  <c r="M100" i="12"/>
  <c r="M34" i="12"/>
  <c r="J173" i="12"/>
  <c r="K170" i="12"/>
  <c r="L34" i="12"/>
  <c r="N64" i="12"/>
  <c r="N65" i="12"/>
  <c r="O60" i="12"/>
  <c r="Q106" i="12"/>
  <c r="R106" i="12"/>
  <c r="S106" i="12"/>
  <c r="T106" i="12"/>
  <c r="U106" i="12"/>
  <c r="V106" i="12"/>
  <c r="W106" i="12"/>
  <c r="X106" i="12"/>
  <c r="Y106" i="12"/>
  <c r="Z106" i="12"/>
  <c r="AA106" i="12"/>
  <c r="O210" i="12"/>
  <c r="L105" i="12"/>
  <c r="M105" i="12"/>
  <c r="J74" i="12"/>
  <c r="J75" i="12"/>
  <c r="K70" i="12"/>
  <c r="K258" i="12"/>
  <c r="K55" i="12"/>
  <c r="L50" i="12"/>
  <c r="M251" i="12"/>
  <c r="M258" i="12"/>
  <c r="M74" i="12"/>
  <c r="L258" i="12"/>
  <c r="D27" i="17"/>
  <c r="E24" i="17"/>
  <c r="M198" i="12"/>
  <c r="N191" i="12"/>
  <c r="D30" i="13"/>
  <c r="W231" i="12"/>
  <c r="X231" i="12"/>
  <c r="Y231" i="12"/>
  <c r="Z231" i="12"/>
  <c r="AA231" i="12"/>
  <c r="M108" i="12"/>
  <c r="F95" i="6"/>
  <c r="F56" i="6"/>
  <c r="R31" i="13"/>
  <c r="F37" i="13"/>
  <c r="AC31" i="13"/>
  <c r="G184" i="3"/>
  <c r="G26" i="8"/>
  <c r="G27" i="8"/>
  <c r="G42" i="6"/>
  <c r="N113" i="12"/>
  <c r="M144" i="12"/>
  <c r="N141" i="12"/>
  <c r="F88" i="6"/>
  <c r="J163" i="12"/>
  <c r="J127" i="12"/>
  <c r="J128" i="12"/>
  <c r="K126" i="12"/>
  <c r="H282" i="6"/>
  <c r="G309" i="6"/>
  <c r="E10" i="12"/>
  <c r="E12" i="12"/>
  <c r="Q135" i="12"/>
  <c r="R135" i="12"/>
  <c r="S135" i="12"/>
  <c r="T135" i="12"/>
  <c r="U135" i="12"/>
  <c r="V135" i="12"/>
  <c r="W135" i="12"/>
  <c r="X135" i="12"/>
  <c r="Y135" i="12"/>
  <c r="Z135" i="12"/>
  <c r="AA135" i="12"/>
  <c r="D57" i="13"/>
  <c r="H84" i="6"/>
  <c r="G86" i="6"/>
  <c r="L136" i="12"/>
  <c r="L163" i="12"/>
  <c r="L127" i="12"/>
  <c r="M133" i="12"/>
  <c r="N215" i="12"/>
  <c r="M222" i="12"/>
  <c r="E112" i="8"/>
  <c r="E108" i="8"/>
  <c r="E113" i="8"/>
  <c r="H69" i="6"/>
  <c r="H70" i="6"/>
  <c r="H83" i="6"/>
  <c r="H39" i="6"/>
  <c r="H53" i="6"/>
  <c r="N160" i="12"/>
  <c r="O157" i="12"/>
  <c r="E10" i="6"/>
  <c r="E57" i="6"/>
  <c r="E7" i="6"/>
  <c r="E11" i="6"/>
  <c r="I119" i="12"/>
  <c r="I83" i="12"/>
  <c r="I24" i="12"/>
  <c r="I25" i="12"/>
  <c r="J20" i="12"/>
  <c r="K163" i="12"/>
  <c r="K127" i="12"/>
  <c r="K44" i="12"/>
  <c r="F107" i="8"/>
  <c r="D56" i="13"/>
  <c r="I11" i="14"/>
  <c r="Q152" i="12"/>
  <c r="R149" i="12"/>
  <c r="W196" i="12"/>
  <c r="X196" i="12"/>
  <c r="Y196" i="12"/>
  <c r="Z196" i="12"/>
  <c r="AA196" i="12"/>
  <c r="P241" i="12"/>
  <c r="O246" i="12"/>
  <c r="O64" i="12"/>
  <c r="P204" i="12"/>
  <c r="Q204" i="12"/>
  <c r="N31" i="17"/>
  <c r="N33" i="17"/>
  <c r="O30" i="17"/>
  <c r="O49" i="17"/>
  <c r="O51" i="17"/>
  <c r="P48" i="17"/>
  <c r="L37" i="17"/>
  <c r="L39" i="17"/>
  <c r="M36" i="17"/>
  <c r="P43" i="17"/>
  <c r="P45" i="17"/>
  <c r="Q42" i="17"/>
  <c r="Q254" i="12"/>
  <c r="S197" i="12"/>
  <c r="T197" i="12"/>
  <c r="U197" i="12"/>
  <c r="S244" i="12"/>
  <c r="T244" i="12"/>
  <c r="P194" i="12"/>
  <c r="Q194" i="12"/>
  <c r="R194" i="12"/>
  <c r="S194" i="12"/>
  <c r="T194" i="12"/>
  <c r="U194" i="12"/>
  <c r="V194" i="12"/>
  <c r="W194" i="12"/>
  <c r="X194" i="12"/>
  <c r="Y194" i="12"/>
  <c r="Z194" i="12"/>
  <c r="T252" i="12"/>
  <c r="P192" i="12"/>
  <c r="Q234" i="12"/>
  <c r="R228" i="12"/>
  <c r="Y193" i="12"/>
  <c r="Z193" i="12"/>
  <c r="AA193" i="12"/>
  <c r="R240" i="12"/>
  <c r="R216" i="12"/>
  <c r="D9" i="20"/>
  <c r="N251" i="12"/>
  <c r="N258" i="12"/>
  <c r="K35" i="12"/>
  <c r="L30" i="12"/>
  <c r="L35" i="12"/>
  <c r="M30" i="12"/>
  <c r="M35" i="12"/>
  <c r="N30" i="12"/>
  <c r="L261" i="12"/>
  <c r="L172" i="12"/>
  <c r="D58" i="17"/>
  <c r="D59" i="17"/>
  <c r="H37" i="13"/>
  <c r="N97" i="12"/>
  <c r="N100" i="12"/>
  <c r="N34" i="12"/>
  <c r="K92" i="12"/>
  <c r="H84" i="12"/>
  <c r="I82" i="12"/>
  <c r="N105" i="12"/>
  <c r="AE31" i="13"/>
  <c r="J119" i="12"/>
  <c r="J83" i="12"/>
  <c r="J24" i="12"/>
  <c r="J25" i="12"/>
  <c r="K20" i="12"/>
  <c r="E114" i="8"/>
  <c r="E83" i="8"/>
  <c r="E84" i="8"/>
  <c r="E72" i="8"/>
  <c r="E73" i="8"/>
  <c r="E12" i="8"/>
  <c r="E16" i="8"/>
  <c r="L74" i="12"/>
  <c r="K128" i="12"/>
  <c r="L126" i="12"/>
  <c r="L128" i="12"/>
  <c r="M126" i="12"/>
  <c r="K261" i="12"/>
  <c r="K172" i="12"/>
  <c r="K173" i="12"/>
  <c r="L170" i="12"/>
  <c r="K74" i="12"/>
  <c r="K75" i="12"/>
  <c r="L70" i="12"/>
  <c r="L108" i="12"/>
  <c r="L54" i="12"/>
  <c r="L55" i="12"/>
  <c r="M50" i="12"/>
  <c r="O191" i="12"/>
  <c r="N198" i="12"/>
  <c r="M54" i="12"/>
  <c r="O65" i="12"/>
  <c r="P60" i="12"/>
  <c r="V197" i="12"/>
  <c r="W197" i="12"/>
  <c r="X197" i="12"/>
  <c r="Y197" i="12"/>
  <c r="Z197" i="12"/>
  <c r="AA197" i="12"/>
  <c r="K45" i="12"/>
  <c r="L40" i="12"/>
  <c r="H66" i="6"/>
  <c r="H79" i="6"/>
  <c r="M261" i="12"/>
  <c r="M172" i="12"/>
  <c r="L24" i="12"/>
  <c r="R152" i="12"/>
  <c r="S149" i="12"/>
  <c r="F112" i="8"/>
  <c r="F108" i="8"/>
  <c r="F113" i="8"/>
  <c r="F109" i="8"/>
  <c r="O160" i="12"/>
  <c r="P157" i="12"/>
  <c r="E109" i="8"/>
  <c r="L44" i="12"/>
  <c r="F10" i="6"/>
  <c r="F57" i="6"/>
  <c r="F7" i="6"/>
  <c r="F11" i="6"/>
  <c r="N116" i="12"/>
  <c r="O113" i="12"/>
  <c r="N222" i="12"/>
  <c r="O215" i="12"/>
  <c r="G87" i="6"/>
  <c r="G92" i="6"/>
  <c r="G91" i="6"/>
  <c r="G93" i="6"/>
  <c r="G88" i="6"/>
  <c r="Q30" i="13"/>
  <c r="E38" i="13"/>
  <c r="E39" i="13"/>
  <c r="E31" i="13"/>
  <c r="AB30" i="13"/>
  <c r="E55" i="13"/>
  <c r="G43" i="6"/>
  <c r="G44" i="6"/>
  <c r="G45" i="6"/>
  <c r="G19" i="6"/>
  <c r="G20" i="6"/>
  <c r="K119" i="12"/>
  <c r="K83" i="12"/>
  <c r="K24" i="12"/>
  <c r="I9" i="12"/>
  <c r="I84" i="12"/>
  <c r="J82" i="12"/>
  <c r="J84" i="12"/>
  <c r="K82" i="12"/>
  <c r="M136" i="12"/>
  <c r="M163" i="12"/>
  <c r="M127" i="12"/>
  <c r="N133" i="12"/>
  <c r="F5" i="12"/>
  <c r="F10" i="12"/>
  <c r="E77" i="12"/>
  <c r="E14" i="12"/>
  <c r="H283" i="6"/>
  <c r="H307" i="6"/>
  <c r="H82" i="6"/>
  <c r="H38" i="6"/>
  <c r="H41" i="6"/>
  <c r="H285" i="6"/>
  <c r="H309" i="6"/>
  <c r="H306" i="6"/>
  <c r="G28" i="8"/>
  <c r="G29" i="8"/>
  <c r="G32" i="8"/>
  <c r="G36" i="8"/>
  <c r="G13" i="8"/>
  <c r="G16" i="8"/>
  <c r="M89" i="12"/>
  <c r="D58" i="13"/>
  <c r="E56" i="13"/>
  <c r="N108" i="12"/>
  <c r="O105" i="12"/>
  <c r="E55" i="17"/>
  <c r="E25" i="17"/>
  <c r="E56" i="17"/>
  <c r="E54" i="13"/>
  <c r="J11" i="14"/>
  <c r="J9" i="12"/>
  <c r="N144" i="12"/>
  <c r="O141" i="12"/>
  <c r="P210" i="12"/>
  <c r="AA194" i="12"/>
  <c r="U244" i="12"/>
  <c r="Q241" i="12"/>
  <c r="P246" i="12"/>
  <c r="P64" i="12"/>
  <c r="P49" i="17"/>
  <c r="P51" i="17"/>
  <c r="Q48" i="17"/>
  <c r="Q192" i="12"/>
  <c r="U252" i="12"/>
  <c r="O31" i="17"/>
  <c r="O33" i="17"/>
  <c r="P30" i="17"/>
  <c r="Q210" i="12"/>
  <c r="R204" i="12"/>
  <c r="S240" i="12"/>
  <c r="Q43" i="17"/>
  <c r="Q45" i="17"/>
  <c r="R42" i="17"/>
  <c r="R234" i="12"/>
  <c r="S228" i="12"/>
  <c r="M37" i="17"/>
  <c r="M39" i="17"/>
  <c r="N36" i="17"/>
  <c r="R254" i="12"/>
  <c r="S216" i="12"/>
  <c r="N74" i="12"/>
  <c r="O251" i="12"/>
  <c r="O258" i="12"/>
  <c r="L173" i="12"/>
  <c r="M170" i="12"/>
  <c r="M173" i="12"/>
  <c r="N170" i="12"/>
  <c r="L75" i="12"/>
  <c r="M70" i="12"/>
  <c r="M75" i="12"/>
  <c r="N70" i="12"/>
  <c r="M128" i="12"/>
  <c r="N126" i="12"/>
  <c r="K25" i="12"/>
  <c r="L20" i="12"/>
  <c r="L25" i="12"/>
  <c r="M20" i="12"/>
  <c r="O97" i="12"/>
  <c r="O100" i="12"/>
  <c r="O34" i="12"/>
  <c r="N35" i="12"/>
  <c r="O30" i="12"/>
  <c r="M55" i="12"/>
  <c r="N50" i="12"/>
  <c r="K9" i="12"/>
  <c r="P251" i="12"/>
  <c r="Q251" i="12"/>
  <c r="L119" i="12"/>
  <c r="L83" i="12"/>
  <c r="L9" i="12"/>
  <c r="M44" i="12"/>
  <c r="P191" i="12"/>
  <c r="O198" i="12"/>
  <c r="L45" i="12"/>
  <c r="M40" i="12"/>
  <c r="P65" i="12"/>
  <c r="Q60" i="12"/>
  <c r="E27" i="17"/>
  <c r="E58" i="17"/>
  <c r="E59" i="17"/>
  <c r="M92" i="12"/>
  <c r="N89" i="12"/>
  <c r="K84" i="12"/>
  <c r="L82" i="12"/>
  <c r="N261" i="12"/>
  <c r="N172" i="12"/>
  <c r="H42" i="6"/>
  <c r="H184" i="3"/>
  <c r="H26" i="8"/>
  <c r="H27" i="8"/>
  <c r="D59" i="13"/>
  <c r="D60" i="13"/>
  <c r="O116" i="12"/>
  <c r="P113" i="12"/>
  <c r="P160" i="12"/>
  <c r="Q157" i="12"/>
  <c r="G56" i="6"/>
  <c r="G95" i="6"/>
  <c r="V31" i="13"/>
  <c r="AG31" i="13"/>
  <c r="J37" i="13"/>
  <c r="N136" i="12"/>
  <c r="N163" i="12"/>
  <c r="N127" i="12"/>
  <c r="O133" i="12"/>
  <c r="E30" i="13"/>
  <c r="P215" i="12"/>
  <c r="O222" i="12"/>
  <c r="F114" i="8"/>
  <c r="F83" i="8"/>
  <c r="F84" i="8"/>
  <c r="F72" i="8"/>
  <c r="F73" i="8"/>
  <c r="F12" i="8"/>
  <c r="F16" i="8"/>
  <c r="H85" i="6"/>
  <c r="H86" i="6"/>
  <c r="O144" i="12"/>
  <c r="P141" i="12"/>
  <c r="F12" i="12"/>
  <c r="F77" i="12"/>
  <c r="F14" i="12"/>
  <c r="G5" i="12"/>
  <c r="E57" i="13"/>
  <c r="S152" i="12"/>
  <c r="T149" i="12"/>
  <c r="O108" i="12"/>
  <c r="P105" i="12"/>
  <c r="N54" i="12"/>
  <c r="AF31" i="13"/>
  <c r="I37" i="13"/>
  <c r="U31" i="13"/>
  <c r="R241" i="12"/>
  <c r="Q246" i="12"/>
  <c r="Q64" i="12"/>
  <c r="V244" i="12"/>
  <c r="W244" i="12"/>
  <c r="X244" i="12"/>
  <c r="Y244" i="12"/>
  <c r="Z244" i="12"/>
  <c r="AA244" i="12"/>
  <c r="N37" i="17"/>
  <c r="N39" i="17"/>
  <c r="O36" i="17"/>
  <c r="S234" i="12"/>
  <c r="T228" i="12"/>
  <c r="V252" i="12"/>
  <c r="P31" i="17"/>
  <c r="P33" i="17"/>
  <c r="Q30" i="17"/>
  <c r="R210" i="12"/>
  <c r="S204" i="12"/>
  <c r="R43" i="17"/>
  <c r="R45" i="17"/>
  <c r="S42" i="17"/>
  <c r="R192" i="12"/>
  <c r="Q49" i="17"/>
  <c r="Q51" i="17"/>
  <c r="R48" i="17"/>
  <c r="S254" i="12"/>
  <c r="T216" i="12"/>
  <c r="T240" i="12"/>
  <c r="O74" i="12"/>
  <c r="N75" i="12"/>
  <c r="O70" i="12"/>
  <c r="N128" i="12"/>
  <c r="O126" i="12"/>
  <c r="L84" i="12"/>
  <c r="M82" i="12"/>
  <c r="P97" i="12"/>
  <c r="P100" i="12"/>
  <c r="P34" i="12"/>
  <c r="F24" i="17"/>
  <c r="F55" i="17"/>
  <c r="O35" i="12"/>
  <c r="P30" i="12"/>
  <c r="P258" i="12"/>
  <c r="N55" i="12"/>
  <c r="O50" i="12"/>
  <c r="M45" i="12"/>
  <c r="N40" i="12"/>
  <c r="R251" i="12"/>
  <c r="Q258" i="12"/>
  <c r="Q65" i="12"/>
  <c r="R60" i="12"/>
  <c r="Q191" i="12"/>
  <c r="P198" i="12"/>
  <c r="N173" i="12"/>
  <c r="O170" i="12"/>
  <c r="P108" i="12"/>
  <c r="Q105" i="12"/>
  <c r="E58" i="13"/>
  <c r="E59" i="13"/>
  <c r="E60" i="13"/>
  <c r="F56" i="13"/>
  <c r="P116" i="12"/>
  <c r="Q113" i="12"/>
  <c r="O54" i="12"/>
  <c r="G10" i="12"/>
  <c r="G12" i="12"/>
  <c r="O261" i="12"/>
  <c r="O172" i="12"/>
  <c r="N44" i="12"/>
  <c r="Q215" i="12"/>
  <c r="P222" i="12"/>
  <c r="P144" i="12"/>
  <c r="Q141" i="12"/>
  <c r="O136" i="12"/>
  <c r="O163" i="12"/>
  <c r="O127" i="12"/>
  <c r="O128" i="12"/>
  <c r="P126" i="12"/>
  <c r="P133" i="12"/>
  <c r="H28" i="8"/>
  <c r="H29" i="8"/>
  <c r="H32" i="8"/>
  <c r="H36" i="8"/>
  <c r="H13" i="8"/>
  <c r="H16" i="8"/>
  <c r="G20" i="8"/>
  <c r="D5" i="14"/>
  <c r="F38" i="13"/>
  <c r="F39" i="13"/>
  <c r="F31" i="13"/>
  <c r="AC30" i="13"/>
  <c r="F55" i="13"/>
  <c r="R30" i="13"/>
  <c r="T152" i="12"/>
  <c r="U149" i="12"/>
  <c r="Q160" i="12"/>
  <c r="R157" i="12"/>
  <c r="H43" i="6"/>
  <c r="H44" i="6"/>
  <c r="H45" i="6"/>
  <c r="H19" i="6"/>
  <c r="H20" i="6"/>
  <c r="D22" i="6"/>
  <c r="N92" i="12"/>
  <c r="O89" i="12"/>
  <c r="D33" i="13"/>
  <c r="D34" i="13"/>
  <c r="D4" i="14"/>
  <c r="D64" i="13"/>
  <c r="AA33" i="13"/>
  <c r="AA34" i="13"/>
  <c r="P33" i="13"/>
  <c r="P34" i="13"/>
  <c r="G10" i="6"/>
  <c r="G57" i="6"/>
  <c r="G7" i="6"/>
  <c r="G11" i="6"/>
  <c r="H87" i="6"/>
  <c r="H92" i="6"/>
  <c r="H88" i="6"/>
  <c r="H91" i="6"/>
  <c r="M119" i="12"/>
  <c r="M83" i="12"/>
  <c r="M84" i="12"/>
  <c r="N82" i="12"/>
  <c r="M24" i="12"/>
  <c r="M25" i="12"/>
  <c r="N20" i="12"/>
  <c r="S241" i="12"/>
  <c r="R246" i="12"/>
  <c r="R64" i="12"/>
  <c r="U216" i="12"/>
  <c r="R49" i="17"/>
  <c r="R51" i="17"/>
  <c r="S48" i="17"/>
  <c r="Q31" i="17"/>
  <c r="Q33" i="17"/>
  <c r="R30" i="17"/>
  <c r="T234" i="12"/>
  <c r="U228" i="12"/>
  <c r="T254" i="12"/>
  <c r="W252" i="12"/>
  <c r="S43" i="17"/>
  <c r="S45" i="17"/>
  <c r="T42" i="17"/>
  <c r="O37" i="17"/>
  <c r="O39" i="17"/>
  <c r="P36" i="17"/>
  <c r="U240" i="12"/>
  <c r="S192" i="12"/>
  <c r="S210" i="12"/>
  <c r="T204" i="12"/>
  <c r="O75" i="12"/>
  <c r="P70" i="12"/>
  <c r="F25" i="17"/>
  <c r="F56" i="17"/>
  <c r="F54" i="13"/>
  <c r="F57" i="13"/>
  <c r="P35" i="12"/>
  <c r="Q30" i="12"/>
  <c r="O55" i="12"/>
  <c r="P50" i="12"/>
  <c r="Q97" i="12"/>
  <c r="N45" i="12"/>
  <c r="O40" i="12"/>
  <c r="P74" i="12"/>
  <c r="P75" i="12"/>
  <c r="Q70" i="12"/>
  <c r="S251" i="12"/>
  <c r="R258" i="12"/>
  <c r="R65" i="12"/>
  <c r="S60" i="12"/>
  <c r="R191" i="12"/>
  <c r="Q198" i="12"/>
  <c r="O173" i="12"/>
  <c r="P170" i="12"/>
  <c r="O92" i="12"/>
  <c r="P89" i="12"/>
  <c r="R215" i="12"/>
  <c r="Q222" i="12"/>
  <c r="P136" i="12"/>
  <c r="P163" i="12"/>
  <c r="P127" i="12"/>
  <c r="P128" i="12"/>
  <c r="Q126" i="12"/>
  <c r="Q133" i="12"/>
  <c r="R160" i="12"/>
  <c r="S157" i="12"/>
  <c r="M9" i="12"/>
  <c r="D35" i="13"/>
  <c r="G77" i="12"/>
  <c r="H5" i="12"/>
  <c r="H10" i="12"/>
  <c r="G14" i="12"/>
  <c r="Q108" i="12"/>
  <c r="R105" i="12"/>
  <c r="H93" i="6"/>
  <c r="P35" i="13"/>
  <c r="U152" i="12"/>
  <c r="V149" i="12"/>
  <c r="P54" i="12"/>
  <c r="Q116" i="12"/>
  <c r="Q74" i="12"/>
  <c r="R113" i="12"/>
  <c r="F30" i="13"/>
  <c r="O44" i="12"/>
  <c r="D6" i="14"/>
  <c r="D13" i="14"/>
  <c r="P261" i="12"/>
  <c r="P172" i="12"/>
  <c r="N119" i="12"/>
  <c r="N83" i="12"/>
  <c r="N9" i="12"/>
  <c r="N24" i="12"/>
  <c r="N25" i="12"/>
  <c r="O20" i="12"/>
  <c r="Q144" i="12"/>
  <c r="R141" i="12"/>
  <c r="G55" i="13"/>
  <c r="G38" i="13"/>
  <c r="G39" i="13"/>
  <c r="G31" i="13"/>
  <c r="AD30" i="13"/>
  <c r="S30" i="13"/>
  <c r="E64" i="13"/>
  <c r="AB33" i="13"/>
  <c r="AB34" i="13"/>
  <c r="Q33" i="13"/>
  <c r="Q34" i="13"/>
  <c r="E33" i="13"/>
  <c r="E34" i="13"/>
  <c r="E4" i="14"/>
  <c r="E6" i="14"/>
  <c r="E13" i="14"/>
  <c r="T241" i="12"/>
  <c r="S246" i="12"/>
  <c r="S64" i="12"/>
  <c r="T43" i="17"/>
  <c r="T45" i="17"/>
  <c r="U42" i="17"/>
  <c r="R31" i="17"/>
  <c r="R33" i="17"/>
  <c r="S30" i="17"/>
  <c r="S49" i="17"/>
  <c r="S51" i="17"/>
  <c r="T48" i="17"/>
  <c r="P37" i="17"/>
  <c r="P39" i="17"/>
  <c r="Q36" i="17"/>
  <c r="V240" i="12"/>
  <c r="V216" i="12"/>
  <c r="X252" i="12"/>
  <c r="T210" i="12"/>
  <c r="U204" i="12"/>
  <c r="U254" i="12"/>
  <c r="T192" i="12"/>
  <c r="U234" i="12"/>
  <c r="V228" i="12"/>
  <c r="F27" i="17"/>
  <c r="F58" i="17"/>
  <c r="F59" i="17"/>
  <c r="Q75" i="12"/>
  <c r="R70" i="12"/>
  <c r="P55" i="12"/>
  <c r="Q50" i="12"/>
  <c r="S97" i="12"/>
  <c r="S100" i="12"/>
  <c r="S34" i="12"/>
  <c r="Q100" i="12"/>
  <c r="Q34" i="12"/>
  <c r="Q35" i="12"/>
  <c r="R30" i="12"/>
  <c r="R97" i="12"/>
  <c r="R100" i="12"/>
  <c r="R34" i="12"/>
  <c r="O45" i="12"/>
  <c r="P40" i="12"/>
  <c r="Q54" i="12"/>
  <c r="N84" i="12"/>
  <c r="O82" i="12"/>
  <c r="S258" i="12"/>
  <c r="T251" i="12"/>
  <c r="S65" i="12"/>
  <c r="T60" i="12"/>
  <c r="G24" i="17"/>
  <c r="G25" i="17"/>
  <c r="G56" i="17"/>
  <c r="G54" i="13"/>
  <c r="P44" i="12"/>
  <c r="S191" i="12"/>
  <c r="R198" i="12"/>
  <c r="H56" i="6"/>
  <c r="H95" i="6"/>
  <c r="R116" i="12"/>
  <c r="R74" i="12"/>
  <c r="S113" i="12"/>
  <c r="P92" i="12"/>
  <c r="Q89" i="12"/>
  <c r="Q35" i="13"/>
  <c r="E17" i="14"/>
  <c r="E19" i="14"/>
  <c r="H12" i="12"/>
  <c r="I5" i="12"/>
  <c r="I10" i="12"/>
  <c r="H14" i="12"/>
  <c r="H77" i="12"/>
  <c r="G30" i="13"/>
  <c r="V152" i="12"/>
  <c r="W149" i="12"/>
  <c r="Q136" i="12"/>
  <c r="Q163" i="12"/>
  <c r="Q127" i="12"/>
  <c r="Q128" i="12"/>
  <c r="R126" i="12"/>
  <c r="R133" i="12"/>
  <c r="P173" i="12"/>
  <c r="Q170" i="12"/>
  <c r="G56" i="13"/>
  <c r="F58" i="13"/>
  <c r="F59" i="13"/>
  <c r="F60" i="13"/>
  <c r="R108" i="12"/>
  <c r="S105" i="12"/>
  <c r="O119" i="12"/>
  <c r="O83" i="12"/>
  <c r="O9" i="12"/>
  <c r="O24" i="12"/>
  <c r="O25" i="12"/>
  <c r="P20" i="12"/>
  <c r="S215" i="12"/>
  <c r="R222" i="12"/>
  <c r="R144" i="12"/>
  <c r="S141" i="12"/>
  <c r="S160" i="12"/>
  <c r="T157" i="12"/>
  <c r="Q261" i="12"/>
  <c r="Q172" i="12"/>
  <c r="E35" i="13"/>
  <c r="U241" i="12"/>
  <c r="T246" i="12"/>
  <c r="T64" i="12"/>
  <c r="S31" i="17"/>
  <c r="S33" i="17"/>
  <c r="T30" i="17"/>
  <c r="V234" i="12"/>
  <c r="W228" i="12"/>
  <c r="W216" i="12"/>
  <c r="T49" i="17"/>
  <c r="T51" i="17"/>
  <c r="U48" i="17"/>
  <c r="V254" i="12"/>
  <c r="W240" i="12"/>
  <c r="Y252" i="12"/>
  <c r="U192" i="12"/>
  <c r="U210" i="12"/>
  <c r="V204" i="12"/>
  <c r="Q37" i="17"/>
  <c r="Q39" i="17"/>
  <c r="R36" i="17"/>
  <c r="U43" i="17"/>
  <c r="U45" i="17"/>
  <c r="V42" i="17"/>
  <c r="R75" i="12"/>
  <c r="S70" i="12"/>
  <c r="R35" i="12"/>
  <c r="S30" i="12"/>
  <c r="S35" i="12"/>
  <c r="T30" i="12"/>
  <c r="Q55" i="12"/>
  <c r="R50" i="12"/>
  <c r="G55" i="17"/>
  <c r="P45" i="12"/>
  <c r="Q40" i="12"/>
  <c r="O84" i="12"/>
  <c r="P82" i="12"/>
  <c r="T97" i="12"/>
  <c r="U251" i="12"/>
  <c r="T258" i="12"/>
  <c r="T100" i="12"/>
  <c r="T34" i="12"/>
  <c r="U97" i="12"/>
  <c r="T65" i="12"/>
  <c r="U60" i="12"/>
  <c r="G57" i="13"/>
  <c r="H56" i="13"/>
  <c r="Q44" i="12"/>
  <c r="T191" i="12"/>
  <c r="S198" i="12"/>
  <c r="G27" i="17"/>
  <c r="G58" i="17"/>
  <c r="Q173" i="12"/>
  <c r="R170" i="12"/>
  <c r="T160" i="12"/>
  <c r="U157" i="12"/>
  <c r="R33" i="13"/>
  <c r="R34" i="13"/>
  <c r="F64" i="13"/>
  <c r="AC33" i="13"/>
  <c r="AC34" i="13"/>
  <c r="F33" i="13"/>
  <c r="F34" i="13"/>
  <c r="F4" i="14"/>
  <c r="F6" i="14"/>
  <c r="F13" i="14"/>
  <c r="H10" i="6"/>
  <c r="H57" i="6"/>
  <c r="H7" i="6"/>
  <c r="H11" i="6"/>
  <c r="D13" i="6"/>
  <c r="D24" i="6"/>
  <c r="S144" i="12"/>
  <c r="T141" i="12"/>
  <c r="Q92" i="12"/>
  <c r="R89" i="12"/>
  <c r="R136" i="12"/>
  <c r="R163" i="12"/>
  <c r="R127" i="12"/>
  <c r="R128" i="12"/>
  <c r="S126" i="12"/>
  <c r="S133" i="12"/>
  <c r="R261" i="12"/>
  <c r="R172" i="12"/>
  <c r="T215" i="12"/>
  <c r="S222" i="12"/>
  <c r="R54" i="12"/>
  <c r="S116" i="12"/>
  <c r="S74" i="12"/>
  <c r="T113" i="12"/>
  <c r="I12" i="12"/>
  <c r="I56" i="4"/>
  <c r="I55" i="4"/>
  <c r="J5" i="12"/>
  <c r="J10" i="12"/>
  <c r="J12" i="12"/>
  <c r="J56" i="4"/>
  <c r="J55" i="4"/>
  <c r="I77" i="12"/>
  <c r="I14" i="12"/>
  <c r="W152" i="12"/>
  <c r="X149" i="12"/>
  <c r="H38" i="13"/>
  <c r="H39" i="13"/>
  <c r="H31" i="13"/>
  <c r="T30" i="13"/>
  <c r="AE30" i="13"/>
  <c r="H55" i="13"/>
  <c r="P119" i="12"/>
  <c r="P83" i="12"/>
  <c r="P9" i="12"/>
  <c r="P24" i="12"/>
  <c r="P25" i="12"/>
  <c r="Q20" i="12"/>
  <c r="S108" i="12"/>
  <c r="T105" i="12"/>
  <c r="V241" i="12"/>
  <c r="V246" i="12"/>
  <c r="V64" i="12"/>
  <c r="U246" i="12"/>
  <c r="U64" i="12"/>
  <c r="V43" i="17"/>
  <c r="V45" i="17"/>
  <c r="W42" i="17"/>
  <c r="R37" i="17"/>
  <c r="R39" i="17"/>
  <c r="S36" i="17"/>
  <c r="U49" i="17"/>
  <c r="U51" i="17"/>
  <c r="V48" i="17"/>
  <c r="W234" i="12"/>
  <c r="X228" i="12"/>
  <c r="X216" i="12"/>
  <c r="X240" i="12"/>
  <c r="Z252" i="12"/>
  <c r="V192" i="12"/>
  <c r="T31" i="17"/>
  <c r="T33" i="17"/>
  <c r="U30" i="17"/>
  <c r="V210" i="12"/>
  <c r="W204" i="12"/>
  <c r="W254" i="12"/>
  <c r="R55" i="12"/>
  <c r="S50" i="12"/>
  <c r="S75" i="12"/>
  <c r="T70" i="12"/>
  <c r="G59" i="17"/>
  <c r="T35" i="12"/>
  <c r="U30" i="12"/>
  <c r="Q45" i="12"/>
  <c r="R40" i="12"/>
  <c r="V97" i="12"/>
  <c r="U100" i="12"/>
  <c r="U34" i="12"/>
  <c r="V251" i="12"/>
  <c r="U258" i="12"/>
  <c r="U65" i="12"/>
  <c r="V60" i="12"/>
  <c r="V65" i="12"/>
  <c r="W60" i="12"/>
  <c r="G58" i="13"/>
  <c r="G59" i="13"/>
  <c r="G60" i="13"/>
  <c r="U191" i="12"/>
  <c r="T198" i="12"/>
  <c r="J38" i="13"/>
  <c r="J39" i="13"/>
  <c r="J31" i="13"/>
  <c r="J14" i="12"/>
  <c r="H24" i="17"/>
  <c r="H25" i="17"/>
  <c r="H56" i="17"/>
  <c r="H54" i="13"/>
  <c r="V30" i="13"/>
  <c r="AG30" i="13"/>
  <c r="J77" i="12"/>
  <c r="K5" i="12"/>
  <c r="K10" i="12"/>
  <c r="K12" i="12"/>
  <c r="F35" i="13"/>
  <c r="T144" i="12"/>
  <c r="U141" i="12"/>
  <c r="S54" i="12"/>
  <c r="X152" i="12"/>
  <c r="Y149" i="12"/>
  <c r="F17" i="14"/>
  <c r="F19" i="14"/>
  <c r="R44" i="12"/>
  <c r="R35" i="13"/>
  <c r="U160" i="12"/>
  <c r="V157" i="12"/>
  <c r="P84" i="12"/>
  <c r="Q82" i="12"/>
  <c r="S136" i="12"/>
  <c r="S163" i="12"/>
  <c r="S127" i="12"/>
  <c r="S128" i="12"/>
  <c r="T126" i="12"/>
  <c r="T133" i="12"/>
  <c r="I38" i="13"/>
  <c r="I39" i="13"/>
  <c r="I31" i="13"/>
  <c r="I55" i="13"/>
  <c r="U30" i="13"/>
  <c r="AF30" i="13"/>
  <c r="J55" i="13"/>
  <c r="S261" i="12"/>
  <c r="S172" i="12"/>
  <c r="R92" i="12"/>
  <c r="S89" i="12"/>
  <c r="R173" i="12"/>
  <c r="S170" i="12"/>
  <c r="T116" i="12"/>
  <c r="T74" i="12"/>
  <c r="U113" i="12"/>
  <c r="T108" i="12"/>
  <c r="T54" i="12"/>
  <c r="U105" i="12"/>
  <c r="H30" i="13"/>
  <c r="U215" i="12"/>
  <c r="T222" i="12"/>
  <c r="Q119" i="12"/>
  <c r="Q83" i="12"/>
  <c r="Q9" i="12"/>
  <c r="Q24" i="12"/>
  <c r="Q25" i="12"/>
  <c r="R20" i="12"/>
  <c r="W241" i="12"/>
  <c r="V49" i="17"/>
  <c r="V51" i="17"/>
  <c r="W48" i="17"/>
  <c r="Y216" i="12"/>
  <c r="S37" i="17"/>
  <c r="S39" i="17"/>
  <c r="T36" i="17"/>
  <c r="AA252" i="12"/>
  <c r="X254" i="12"/>
  <c r="J32" i="13"/>
  <c r="V32" i="13"/>
  <c r="AG32" i="13"/>
  <c r="J53" i="13"/>
  <c r="W43" i="17"/>
  <c r="W45" i="17"/>
  <c r="X42" i="17"/>
  <c r="U31" i="17"/>
  <c r="U33" i="17"/>
  <c r="V30" i="17"/>
  <c r="X234" i="12"/>
  <c r="Y228" i="12"/>
  <c r="W210" i="12"/>
  <c r="X204" i="12"/>
  <c r="Y240" i="12"/>
  <c r="W192" i="12"/>
  <c r="S55" i="12"/>
  <c r="T50" i="12"/>
  <c r="T55" i="12"/>
  <c r="U50" i="12"/>
  <c r="U35" i="12"/>
  <c r="V30" i="12"/>
  <c r="T75" i="12"/>
  <c r="U70" i="12"/>
  <c r="R45" i="12"/>
  <c r="S40" i="12"/>
  <c r="V100" i="12"/>
  <c r="V34" i="12"/>
  <c r="W97" i="12"/>
  <c r="W251" i="12"/>
  <c r="V258" i="12"/>
  <c r="V191" i="12"/>
  <c r="U198" i="12"/>
  <c r="H55" i="17"/>
  <c r="J30" i="13"/>
  <c r="S173" i="12"/>
  <c r="T170" i="12"/>
  <c r="I30" i="13"/>
  <c r="G33" i="13"/>
  <c r="G34" i="13"/>
  <c r="G4" i="14"/>
  <c r="G6" i="14"/>
  <c r="G13" i="14"/>
  <c r="G17" i="14"/>
  <c r="G19" i="14"/>
  <c r="S33" i="13"/>
  <c r="S34" i="13"/>
  <c r="G64" i="13"/>
  <c r="AD33" i="13"/>
  <c r="AD34" i="13"/>
  <c r="U116" i="12"/>
  <c r="U74" i="12"/>
  <c r="V113" i="12"/>
  <c r="V215" i="12"/>
  <c r="U222" i="12"/>
  <c r="Q84" i="12"/>
  <c r="R82" i="12"/>
  <c r="U144" i="12"/>
  <c r="V141" i="12"/>
  <c r="U108" i="12"/>
  <c r="V105" i="12"/>
  <c r="V160" i="12"/>
  <c r="W157" i="12"/>
  <c r="T136" i="12"/>
  <c r="T163" i="12"/>
  <c r="T127" i="12"/>
  <c r="T128" i="12"/>
  <c r="U126" i="12"/>
  <c r="U133" i="12"/>
  <c r="Y152" i="12"/>
  <c r="Z149" i="12"/>
  <c r="T261" i="12"/>
  <c r="T172" i="12"/>
  <c r="S92" i="12"/>
  <c r="T89" i="12"/>
  <c r="R119" i="12"/>
  <c r="R83" i="12"/>
  <c r="R9" i="12"/>
  <c r="R24" i="12"/>
  <c r="R25" i="12"/>
  <c r="S20" i="12"/>
  <c r="S44" i="12"/>
  <c r="I32" i="13"/>
  <c r="I53" i="13"/>
  <c r="U32" i="13"/>
  <c r="AF32" i="13"/>
  <c r="H27" i="17"/>
  <c r="X241" i="12"/>
  <c r="W246" i="12"/>
  <c r="W64" i="12"/>
  <c r="W65" i="12"/>
  <c r="X60" i="12"/>
  <c r="T37" i="17"/>
  <c r="T39" i="17"/>
  <c r="U36" i="17"/>
  <c r="W49" i="17"/>
  <c r="W51" i="17"/>
  <c r="X48" i="17"/>
  <c r="Z240" i="12"/>
  <c r="Y254" i="12"/>
  <c r="X210" i="12"/>
  <c r="Y204" i="12"/>
  <c r="K14" i="12"/>
  <c r="K77" i="12"/>
  <c r="L5" i="12"/>
  <c r="X192" i="12"/>
  <c r="X43" i="17"/>
  <c r="X45" i="17"/>
  <c r="Y42" i="17"/>
  <c r="Z216" i="12"/>
  <c r="V31" i="17"/>
  <c r="V33" i="17"/>
  <c r="W30" i="17"/>
  <c r="Y234" i="12"/>
  <c r="Z228" i="12"/>
  <c r="V35" i="12"/>
  <c r="W30" i="12"/>
  <c r="U75" i="12"/>
  <c r="V70" i="12"/>
  <c r="S45" i="12"/>
  <c r="T40" i="12"/>
  <c r="U54" i="12"/>
  <c r="U55" i="12"/>
  <c r="V50" i="12"/>
  <c r="X251" i="12"/>
  <c r="W258" i="12"/>
  <c r="X97" i="12"/>
  <c r="W100" i="12"/>
  <c r="W34" i="12"/>
  <c r="W191" i="12"/>
  <c r="V198" i="12"/>
  <c r="G35" i="13"/>
  <c r="R84" i="12"/>
  <c r="S82" i="12"/>
  <c r="T92" i="12"/>
  <c r="U89" i="12"/>
  <c r="W160" i="12"/>
  <c r="X157" i="12"/>
  <c r="S35" i="13"/>
  <c r="S119" i="12"/>
  <c r="S83" i="12"/>
  <c r="S9" i="12"/>
  <c r="S24" i="12"/>
  <c r="S25" i="12"/>
  <c r="T20" i="12"/>
  <c r="V108" i="12"/>
  <c r="W105" i="12"/>
  <c r="Z152" i="12"/>
  <c r="AA149" i="12"/>
  <c r="AA152" i="12"/>
  <c r="W215" i="12"/>
  <c r="V222" i="12"/>
  <c r="T173" i="12"/>
  <c r="U170" i="12"/>
  <c r="H58" i="17"/>
  <c r="H59" i="17"/>
  <c r="I24" i="17"/>
  <c r="V144" i="12"/>
  <c r="W141" i="12"/>
  <c r="V116" i="12"/>
  <c r="V74" i="12"/>
  <c r="W113" i="12"/>
  <c r="T44" i="12"/>
  <c r="U261" i="12"/>
  <c r="U172" i="12"/>
  <c r="U136" i="12"/>
  <c r="U163" i="12"/>
  <c r="U127" i="12"/>
  <c r="U128" i="12"/>
  <c r="V126" i="12"/>
  <c r="V133" i="12"/>
  <c r="Y241" i="12"/>
  <c r="X246" i="12"/>
  <c r="X64" i="12"/>
  <c r="X65" i="12"/>
  <c r="Y60" i="12"/>
  <c r="Y43" i="17"/>
  <c r="Y45" i="17"/>
  <c r="Z42" i="17"/>
  <c r="X49" i="17"/>
  <c r="X51" i="17"/>
  <c r="Y48" i="17"/>
  <c r="L10" i="12"/>
  <c r="AA216" i="12"/>
  <c r="Y210" i="12"/>
  <c r="Z204" i="12"/>
  <c r="U37" i="17"/>
  <c r="U39" i="17"/>
  <c r="V36" i="17"/>
  <c r="Y192" i="12"/>
  <c r="Z254" i="12"/>
  <c r="W31" i="17"/>
  <c r="W33" i="17"/>
  <c r="X30" i="17"/>
  <c r="Z234" i="12"/>
  <c r="AA228" i="12"/>
  <c r="AA234" i="12"/>
  <c r="AA240" i="12"/>
  <c r="W35" i="12"/>
  <c r="X30" i="12"/>
  <c r="V75" i="12"/>
  <c r="W70" i="12"/>
  <c r="T45" i="12"/>
  <c r="U40" i="12"/>
  <c r="V54" i="12"/>
  <c r="V55" i="12"/>
  <c r="W50" i="12"/>
  <c r="Y251" i="12"/>
  <c r="X258" i="12"/>
  <c r="Y97" i="12"/>
  <c r="Y100" i="12"/>
  <c r="Y34" i="12"/>
  <c r="X100" i="12"/>
  <c r="X34" i="12"/>
  <c r="U44" i="12"/>
  <c r="X191" i="12"/>
  <c r="W198" i="12"/>
  <c r="U173" i="12"/>
  <c r="V170" i="12"/>
  <c r="U92" i="12"/>
  <c r="V89" i="12"/>
  <c r="W144" i="12"/>
  <c r="X141" i="12"/>
  <c r="T119" i="12"/>
  <c r="T83" i="12"/>
  <c r="T9" i="12"/>
  <c r="T24" i="12"/>
  <c r="T25" i="12"/>
  <c r="U20" i="12"/>
  <c r="V136" i="12"/>
  <c r="V163" i="12"/>
  <c r="V127" i="12"/>
  <c r="V128" i="12"/>
  <c r="W126" i="12"/>
  <c r="W133" i="12"/>
  <c r="V261" i="12"/>
  <c r="V172" i="12"/>
  <c r="I25" i="17"/>
  <c r="I56" i="17"/>
  <c r="I54" i="13"/>
  <c r="I55" i="17"/>
  <c r="S84" i="12"/>
  <c r="T82" i="12"/>
  <c r="W116" i="12"/>
  <c r="W74" i="12"/>
  <c r="X113" i="12"/>
  <c r="X215" i="12"/>
  <c r="W222" i="12"/>
  <c r="W108" i="12"/>
  <c r="X105" i="12"/>
  <c r="X160" i="12"/>
  <c r="Y157" i="12"/>
  <c r="Z241" i="12"/>
  <c r="Y246" i="12"/>
  <c r="Y64" i="12"/>
  <c r="Y65" i="12"/>
  <c r="Z60" i="12"/>
  <c r="V37" i="17"/>
  <c r="V39" i="17"/>
  <c r="W36" i="17"/>
  <c r="Y49" i="17"/>
  <c r="Y51" i="17"/>
  <c r="Z48" i="17"/>
  <c r="Z192" i="12"/>
  <c r="X31" i="17"/>
  <c r="X33" i="17"/>
  <c r="Y30" i="17"/>
  <c r="Z210" i="12"/>
  <c r="AA204" i="12"/>
  <c r="AA210" i="12"/>
  <c r="Z43" i="17"/>
  <c r="Z45" i="17"/>
  <c r="AA42" i="17"/>
  <c r="L77" i="12"/>
  <c r="L14" i="12"/>
  <c r="M5" i="12"/>
  <c r="AA254" i="12"/>
  <c r="L12" i="12"/>
  <c r="W75" i="12"/>
  <c r="X70" i="12"/>
  <c r="X35" i="12"/>
  <c r="Y30" i="12"/>
  <c r="Y35" i="12"/>
  <c r="Z30" i="12"/>
  <c r="U45" i="12"/>
  <c r="V40" i="12"/>
  <c r="V44" i="12"/>
  <c r="W54" i="12"/>
  <c r="W55" i="12"/>
  <c r="X50" i="12"/>
  <c r="Z97" i="12"/>
  <c r="Z100" i="12"/>
  <c r="Z34" i="12"/>
  <c r="Z251" i="12"/>
  <c r="Y258" i="12"/>
  <c r="Y191" i="12"/>
  <c r="X198" i="12"/>
  <c r="I27" i="17"/>
  <c r="J24" i="17"/>
  <c r="X108" i="12"/>
  <c r="Y105" i="12"/>
  <c r="V92" i="12"/>
  <c r="W89" i="12"/>
  <c r="W261" i="12"/>
  <c r="W172" i="12"/>
  <c r="W136" i="12"/>
  <c r="W163" i="12"/>
  <c r="W127" i="12"/>
  <c r="W128" i="12"/>
  <c r="X126" i="12"/>
  <c r="X133" i="12"/>
  <c r="U119" i="12"/>
  <c r="U83" i="12"/>
  <c r="U9" i="12"/>
  <c r="U24" i="12"/>
  <c r="U25" i="12"/>
  <c r="V20" i="12"/>
  <c r="X144" i="12"/>
  <c r="Y141" i="12"/>
  <c r="V173" i="12"/>
  <c r="W170" i="12"/>
  <c r="Y215" i="12"/>
  <c r="X222" i="12"/>
  <c r="T84" i="12"/>
  <c r="U82" i="12"/>
  <c r="Y160" i="12"/>
  <c r="Z157" i="12"/>
  <c r="X116" i="12"/>
  <c r="X74" i="12"/>
  <c r="Y113" i="12"/>
  <c r="AA241" i="12"/>
  <c r="AA246" i="12"/>
  <c r="AA64" i="12"/>
  <c r="Z246" i="12"/>
  <c r="Z64" i="12"/>
  <c r="Z65" i="12"/>
  <c r="AA60" i="12"/>
  <c r="AA43" i="17"/>
  <c r="AA45" i="17"/>
  <c r="Y31" i="17"/>
  <c r="Y33" i="17"/>
  <c r="Z30" i="17"/>
  <c r="M10" i="12"/>
  <c r="M12" i="12"/>
  <c r="AA192" i="12"/>
  <c r="Z49" i="17"/>
  <c r="Z51" i="17"/>
  <c r="AA48" i="17"/>
  <c r="W37" i="17"/>
  <c r="W39" i="17"/>
  <c r="X36" i="17"/>
  <c r="X75" i="12"/>
  <c r="Y70" i="12"/>
  <c r="V45" i="12"/>
  <c r="W40" i="12"/>
  <c r="Z35" i="12"/>
  <c r="AA30" i="12"/>
  <c r="AA251" i="12"/>
  <c r="AA258" i="12"/>
  <c r="Z258" i="12"/>
  <c r="U84" i="12"/>
  <c r="V82" i="12"/>
  <c r="AA97" i="12"/>
  <c r="AA100" i="12"/>
  <c r="AA34" i="12"/>
  <c r="I58" i="17"/>
  <c r="I59" i="17"/>
  <c r="W44" i="12"/>
  <c r="Z191" i="12"/>
  <c r="Y198" i="12"/>
  <c r="Z215" i="12"/>
  <c r="Y222" i="12"/>
  <c r="X136" i="12"/>
  <c r="X163" i="12"/>
  <c r="X127" i="12"/>
  <c r="X128" i="12"/>
  <c r="Y126" i="12"/>
  <c r="Y133" i="12"/>
  <c r="Y108" i="12"/>
  <c r="Z105" i="12"/>
  <c r="Y116" i="12"/>
  <c r="Y74" i="12"/>
  <c r="Z113" i="12"/>
  <c r="W173" i="12"/>
  <c r="X170" i="12"/>
  <c r="X54" i="12"/>
  <c r="X55" i="12"/>
  <c r="Y50" i="12"/>
  <c r="X261" i="12"/>
  <c r="X172" i="12"/>
  <c r="W92" i="12"/>
  <c r="X89" i="12"/>
  <c r="V119" i="12"/>
  <c r="V83" i="12"/>
  <c r="V9" i="12"/>
  <c r="V24" i="12"/>
  <c r="V25" i="12"/>
  <c r="W20" i="12"/>
  <c r="AA65" i="12"/>
  <c r="Z160" i="12"/>
  <c r="AA157" i="12"/>
  <c r="AA160" i="12"/>
  <c r="Y144" i="12"/>
  <c r="Z141" i="12"/>
  <c r="J55" i="17"/>
  <c r="J25" i="17"/>
  <c r="J56" i="17"/>
  <c r="J54" i="13"/>
  <c r="Z31" i="17"/>
  <c r="Z33" i="17"/>
  <c r="AA30" i="17"/>
  <c r="M77" i="12"/>
  <c r="M14" i="12"/>
  <c r="N5" i="12"/>
  <c r="X37" i="17"/>
  <c r="X39" i="17"/>
  <c r="Y36" i="17"/>
  <c r="AA49" i="17"/>
  <c r="AA51" i="17"/>
  <c r="Y75" i="12"/>
  <c r="Z70" i="12"/>
  <c r="W45" i="12"/>
  <c r="X40" i="12"/>
  <c r="AA35" i="12"/>
  <c r="X44" i="12"/>
  <c r="AA191" i="12"/>
  <c r="AA198" i="12"/>
  <c r="Z198" i="12"/>
  <c r="Y54" i="12"/>
  <c r="Y55" i="12"/>
  <c r="Z50" i="12"/>
  <c r="J27" i="17"/>
  <c r="J58" i="17"/>
  <c r="J59" i="17"/>
  <c r="X92" i="12"/>
  <c r="Y89" i="12"/>
  <c r="X173" i="12"/>
  <c r="Y170" i="12"/>
  <c r="AA215" i="12"/>
  <c r="AA222" i="12"/>
  <c r="Z222" i="12"/>
  <c r="Z144" i="12"/>
  <c r="AA141" i="12"/>
  <c r="AA144" i="12"/>
  <c r="W119" i="12"/>
  <c r="W83" i="12"/>
  <c r="W9" i="12"/>
  <c r="W24" i="12"/>
  <c r="W25" i="12"/>
  <c r="X20" i="12"/>
  <c r="Z116" i="12"/>
  <c r="Z74" i="12"/>
  <c r="AA113" i="12"/>
  <c r="AA116" i="12"/>
  <c r="AA74" i="12"/>
  <c r="V84" i="12"/>
  <c r="W82" i="12"/>
  <c r="Y136" i="12"/>
  <c r="Y163" i="12"/>
  <c r="Y127" i="12"/>
  <c r="Y128" i="12"/>
  <c r="Z126" i="12"/>
  <c r="Z133" i="12"/>
  <c r="Y44" i="12"/>
  <c r="Y261" i="12"/>
  <c r="Y172" i="12"/>
  <c r="Z108" i="12"/>
  <c r="AA105" i="12"/>
  <c r="AA108" i="12"/>
  <c r="N10" i="12"/>
  <c r="AA31" i="17"/>
  <c r="AA33" i="17"/>
  <c r="Y37" i="17"/>
  <c r="Y39" i="17"/>
  <c r="Z36" i="17"/>
  <c r="Z75" i="12"/>
  <c r="AA70" i="12"/>
  <c r="AA75" i="12"/>
  <c r="X45" i="12"/>
  <c r="Y40" i="12"/>
  <c r="Y45" i="12"/>
  <c r="Z40" i="12"/>
  <c r="Z54" i="12"/>
  <c r="Z55" i="12"/>
  <c r="AA50" i="12"/>
  <c r="K24" i="17"/>
  <c r="AA261" i="12"/>
  <c r="AA172" i="12"/>
  <c r="Y173" i="12"/>
  <c r="Z170" i="12"/>
  <c r="Z136" i="12"/>
  <c r="Z163" i="12"/>
  <c r="Z127" i="12"/>
  <c r="Z128" i="12"/>
  <c r="AA126" i="12"/>
  <c r="AA133" i="12"/>
  <c r="AA136" i="12"/>
  <c r="AA163" i="12"/>
  <c r="AA127" i="12"/>
  <c r="D129" i="12"/>
  <c r="C129" i="12"/>
  <c r="X119" i="12"/>
  <c r="X83" i="12"/>
  <c r="X9" i="12"/>
  <c r="X24" i="12"/>
  <c r="X25" i="12"/>
  <c r="Y20" i="12"/>
  <c r="Y92" i="12"/>
  <c r="Z89" i="12"/>
  <c r="W84" i="12"/>
  <c r="X82" i="12"/>
  <c r="Z261" i="12"/>
  <c r="Z172" i="12"/>
  <c r="AA54" i="12"/>
  <c r="Z37" i="17"/>
  <c r="Z39" i="17"/>
  <c r="AA36" i="17"/>
  <c r="O5" i="12"/>
  <c r="N14" i="12"/>
  <c r="N77" i="12"/>
  <c r="N12" i="12"/>
  <c r="K55" i="17"/>
  <c r="H5" i="20"/>
  <c r="H9" i="20"/>
  <c r="X84" i="12"/>
  <c r="Y82" i="12"/>
  <c r="AA128" i="12"/>
  <c r="K25" i="17"/>
  <c r="K56" i="17"/>
  <c r="AA55" i="12"/>
  <c r="D174" i="12"/>
  <c r="C174" i="12"/>
  <c r="Z173" i="12"/>
  <c r="AA170" i="12"/>
  <c r="AA173" i="12"/>
  <c r="Z44" i="12"/>
  <c r="Z45" i="12"/>
  <c r="AA40" i="12"/>
  <c r="AA44" i="12"/>
  <c r="Z92" i="12"/>
  <c r="AA89" i="12"/>
  <c r="AA92" i="12"/>
  <c r="Y119" i="12"/>
  <c r="Y83" i="12"/>
  <c r="Y9" i="12"/>
  <c r="Y24" i="12"/>
  <c r="Y25" i="12"/>
  <c r="Z20" i="12"/>
  <c r="O10" i="12"/>
  <c r="O12" i="12"/>
  <c r="AA37" i="17"/>
  <c r="AA39" i="17"/>
  <c r="K27" i="17"/>
  <c r="K58" i="17"/>
  <c r="K59" i="17"/>
  <c r="Y84" i="12"/>
  <c r="Z82" i="12"/>
  <c r="AA45" i="12"/>
  <c r="AA119" i="12"/>
  <c r="AA83" i="12"/>
  <c r="AA24" i="12"/>
  <c r="Z119" i="12"/>
  <c r="Z83" i="12"/>
  <c r="Z9" i="12"/>
  <c r="Z24" i="12"/>
  <c r="Z25" i="12"/>
  <c r="AA20" i="12"/>
  <c r="P5" i="12"/>
  <c r="O77" i="12"/>
  <c r="O14" i="12"/>
  <c r="L24" i="17"/>
  <c r="L55" i="17"/>
  <c r="AA25" i="12"/>
  <c r="D85" i="12"/>
  <c r="C85" i="12"/>
  <c r="AA9" i="12"/>
  <c r="Z84" i="12"/>
  <c r="AA82" i="12"/>
  <c r="AA84" i="12"/>
  <c r="P10" i="12"/>
  <c r="P12" i="12"/>
  <c r="L25" i="17"/>
  <c r="L56" i="17"/>
  <c r="P14" i="12"/>
  <c r="Q5" i="12"/>
  <c r="P77" i="12"/>
  <c r="L27" i="17"/>
  <c r="M24" i="17"/>
  <c r="M55" i="17"/>
  <c r="Q10" i="12"/>
  <c r="Q12" i="12"/>
  <c r="M25" i="17"/>
  <c r="M56" i="17"/>
  <c r="L58" i="17"/>
  <c r="L59" i="17"/>
  <c r="R5" i="12"/>
  <c r="Q14" i="12"/>
  <c r="Q77" i="12"/>
  <c r="M27" i="17"/>
  <c r="R10" i="12"/>
  <c r="R12" i="12"/>
  <c r="N24" i="17"/>
  <c r="M58" i="17"/>
  <c r="M59" i="17"/>
  <c r="S5" i="12"/>
  <c r="R14" i="12"/>
  <c r="R77" i="12"/>
  <c r="N55" i="17"/>
  <c r="N25" i="17"/>
  <c r="N56" i="17"/>
  <c r="S10" i="12"/>
  <c r="N27" i="17"/>
  <c r="S77" i="12"/>
  <c r="S14" i="12"/>
  <c r="T5" i="12"/>
  <c r="S12" i="12"/>
  <c r="O24" i="17"/>
  <c r="N58" i="17"/>
  <c r="N59" i="17"/>
  <c r="T10" i="12"/>
  <c r="O25" i="17"/>
  <c r="O56" i="17"/>
  <c r="O55" i="17"/>
  <c r="U5" i="12"/>
  <c r="T14" i="12"/>
  <c r="T77" i="12"/>
  <c r="T12" i="12"/>
  <c r="O27" i="17"/>
  <c r="P24" i="17"/>
  <c r="U10" i="12"/>
  <c r="U12" i="12"/>
  <c r="O58" i="17"/>
  <c r="O59" i="17"/>
  <c r="P25" i="17"/>
  <c r="P56" i="17"/>
  <c r="P55" i="17"/>
  <c r="V5" i="12"/>
  <c r="U14" i="12"/>
  <c r="U77" i="12"/>
  <c r="P27" i="17"/>
  <c r="Q24" i="17"/>
  <c r="V10" i="12"/>
  <c r="P58" i="17"/>
  <c r="P59" i="17"/>
  <c r="Q25" i="17"/>
  <c r="Q56" i="17"/>
  <c r="Q55" i="17"/>
  <c r="W5" i="12"/>
  <c r="V14" i="12"/>
  <c r="V77" i="12"/>
  <c r="V12" i="12"/>
  <c r="Q27" i="17"/>
  <c r="Q58" i="17"/>
  <c r="Q59" i="17"/>
  <c r="W10" i="12"/>
  <c r="R24" i="17"/>
  <c r="R55" i="17"/>
  <c r="X5" i="12"/>
  <c r="W77" i="12"/>
  <c r="W14" i="12"/>
  <c r="W12" i="12"/>
  <c r="R25" i="17"/>
  <c r="R27" i="17"/>
  <c r="X10" i="12"/>
  <c r="X12" i="12"/>
  <c r="R56" i="17"/>
  <c r="S24" i="17"/>
  <c r="R58" i="17"/>
  <c r="Y5" i="12"/>
  <c r="X77" i="12"/>
  <c r="X14" i="12"/>
  <c r="R59" i="17"/>
  <c r="S55" i="17"/>
  <c r="S25" i="17"/>
  <c r="S56" i="17"/>
  <c r="Y10" i="12"/>
  <c r="S27" i="17"/>
  <c r="S58" i="17"/>
  <c r="S59" i="17"/>
  <c r="Z5" i="12"/>
  <c r="Y14" i="12"/>
  <c r="Y77" i="12"/>
  <c r="Y12" i="12"/>
  <c r="T24" i="17"/>
  <c r="T55" i="17"/>
  <c r="Z10" i="12"/>
  <c r="Z12" i="12"/>
  <c r="T25" i="17"/>
  <c r="T56" i="17"/>
  <c r="AA5" i="12"/>
  <c r="Z77" i="12"/>
  <c r="Z14" i="12"/>
  <c r="T27" i="17"/>
  <c r="AA10" i="12"/>
  <c r="AA12" i="12"/>
  <c r="T58" i="17"/>
  <c r="T59" i="17"/>
  <c r="U24" i="17"/>
  <c r="AA77" i="12"/>
  <c r="C77" i="12"/>
  <c r="AA14" i="12"/>
  <c r="C14" i="12"/>
  <c r="U25" i="17"/>
  <c r="U55" i="17"/>
  <c r="C1" i="12"/>
  <c r="C2" i="12"/>
  <c r="U56" i="17"/>
  <c r="U27" i="17"/>
  <c r="V24" i="17"/>
  <c r="U58" i="17"/>
  <c r="U59" i="17"/>
  <c r="V55" i="17"/>
  <c r="V25" i="17"/>
  <c r="V56" i="17"/>
  <c r="V27" i="17"/>
  <c r="W24" i="17"/>
  <c r="V58" i="17"/>
  <c r="V59" i="17"/>
  <c r="W25" i="17"/>
  <c r="W56" i="17"/>
  <c r="W55" i="17"/>
  <c r="W27" i="17"/>
  <c r="X24" i="17"/>
  <c r="W58" i="17"/>
  <c r="W59" i="17"/>
  <c r="X25" i="17"/>
  <c r="X56" i="17"/>
  <c r="X55" i="17"/>
  <c r="X27" i="17"/>
  <c r="Y24" i="17"/>
  <c r="X58" i="17"/>
  <c r="X59" i="17"/>
  <c r="Y55" i="17"/>
  <c r="Y25" i="17"/>
  <c r="Y56" i="17"/>
  <c r="Y27" i="17"/>
  <c r="Z24" i="17"/>
  <c r="Y58" i="17"/>
  <c r="Y59" i="17"/>
  <c r="Z25" i="17"/>
  <c r="Z56" i="17"/>
  <c r="Z55" i="17"/>
  <c r="Z27" i="17"/>
  <c r="AA24" i="17"/>
  <c r="G58" i="14"/>
  <c r="S58" i="14"/>
  <c r="G59" i="14"/>
  <c r="S59" i="14"/>
  <c r="G56" i="14"/>
  <c r="S56" i="14"/>
  <c r="G57" i="14"/>
  <c r="S57" i="14"/>
  <c r="Z58" i="17"/>
  <c r="Z59" i="17"/>
  <c r="AA25" i="17"/>
  <c r="AA55" i="17"/>
  <c r="J100" i="4"/>
  <c r="H58" i="14"/>
  <c r="T58" i="14"/>
  <c r="J101" i="4"/>
  <c r="H59" i="14"/>
  <c r="T59" i="14"/>
  <c r="H51" i="13"/>
  <c r="H57" i="13"/>
  <c r="H15" i="14"/>
  <c r="G60" i="14"/>
  <c r="S60" i="14"/>
  <c r="S76" i="14"/>
  <c r="I8" i="14"/>
  <c r="J102" i="4"/>
  <c r="H60" i="14"/>
  <c r="T60" i="14"/>
  <c r="J98" i="4"/>
  <c r="H56" i="14"/>
  <c r="T56" i="14"/>
  <c r="J99" i="4"/>
  <c r="H57" i="14"/>
  <c r="T57" i="14"/>
  <c r="AA56" i="17"/>
  <c r="AA27" i="17"/>
  <c r="AA58" i="17"/>
  <c r="I51" i="13"/>
  <c r="I15" i="14"/>
  <c r="T76" i="14"/>
  <c r="J8" i="14"/>
  <c r="H58" i="13"/>
  <c r="H59" i="13"/>
  <c r="H60" i="13"/>
  <c r="I56" i="13"/>
  <c r="AA59" i="17"/>
  <c r="C59" i="17"/>
  <c r="C1" i="17"/>
  <c r="H33" i="13"/>
  <c r="H34" i="13"/>
  <c r="H4" i="14"/>
  <c r="H6" i="14"/>
  <c r="H13" i="14"/>
  <c r="H17" i="14"/>
  <c r="H19" i="14"/>
  <c r="T33" i="13"/>
  <c r="T34" i="13"/>
  <c r="H64" i="13"/>
  <c r="AE33" i="13"/>
  <c r="AE34" i="13"/>
  <c r="J51" i="13"/>
  <c r="J15" i="14"/>
  <c r="I57" i="13"/>
  <c r="C2" i="17"/>
  <c r="T35" i="13"/>
  <c r="I58" i="13"/>
  <c r="I59" i="13"/>
  <c r="I60" i="13"/>
  <c r="J56" i="13"/>
  <c r="J57" i="13"/>
  <c r="H35" i="13"/>
  <c r="J58" i="13"/>
  <c r="J59" i="13"/>
  <c r="J60" i="13"/>
  <c r="J64" i="13"/>
  <c r="AG33" i="13"/>
  <c r="AG34" i="13"/>
  <c r="B20" i="20"/>
  <c r="I64" i="13"/>
  <c r="AF33" i="13"/>
  <c r="AF34" i="13"/>
  <c r="U33" i="13"/>
  <c r="U34" i="13"/>
  <c r="I33" i="13"/>
  <c r="I34" i="13"/>
  <c r="I4" i="14"/>
  <c r="I6" i="14"/>
  <c r="I13" i="14"/>
  <c r="I17" i="14"/>
  <c r="I19" i="14"/>
  <c r="V33" i="13"/>
  <c r="V34" i="13"/>
  <c r="V35" i="13"/>
  <c r="J33" i="13"/>
  <c r="J34" i="13"/>
  <c r="J4" i="14"/>
  <c r="J6" i="14"/>
  <c r="J13" i="14"/>
  <c r="J17" i="14"/>
  <c r="I35" i="13"/>
  <c r="U35" i="13"/>
  <c r="J35" i="13"/>
  <c r="C35" i="13"/>
  <c r="D1" i="13"/>
  <c r="F1" i="14"/>
  <c r="J19" i="14"/>
  <c r="C1" i="13"/>
</calcChain>
</file>

<file path=xl/comments1.xml><?xml version="1.0" encoding="utf-8"?>
<comments xmlns="http://schemas.openxmlformats.org/spreadsheetml/2006/main">
  <authors>
    <author>Rombo</author>
  </authors>
  <commentList>
    <comment ref="A40" authorId="0">
      <text>
        <r>
          <rPr>
            <sz val="8"/>
            <color indexed="81"/>
            <rFont val="Tahoma"/>
            <family val="2"/>
          </rPr>
          <t xml:space="preserve">Tax Losses included in Duos tax calculation.
</t>
        </r>
      </text>
    </comment>
  </commentList>
</comments>
</file>

<file path=xl/sharedStrings.xml><?xml version="1.0" encoding="utf-8"?>
<sst xmlns="http://schemas.openxmlformats.org/spreadsheetml/2006/main" count="1246" uniqueCount="432">
  <si>
    <t>Check</t>
  </si>
  <si>
    <t>OPERATING &amp; MAINTENANCE EXPENDITURE</t>
  </si>
  <si>
    <t>Operating and Maintenance Expenditure</t>
  </si>
  <si>
    <t>CUSTOMER CONTRIBUTIONS AND DISPOSAL PROCEEDS</t>
  </si>
  <si>
    <t>Customer contributions</t>
  </si>
  <si>
    <t>Disposals - proceeds from sale of assets</t>
  </si>
  <si>
    <t>Real 2008 $</t>
  </si>
  <si>
    <t>Regulatory</t>
  </si>
  <si>
    <t xml:space="preserve"> Life (years)</t>
  </si>
  <si>
    <t>Market Observables</t>
  </si>
  <si>
    <t>Nominal risk free rate</t>
  </si>
  <si>
    <t>Debt risk premium</t>
  </si>
  <si>
    <t>Non Market Observables</t>
  </si>
  <si>
    <t>Equity premium</t>
  </si>
  <si>
    <t>Equity beta</t>
  </si>
  <si>
    <t>Gearing (debt/assets)</t>
  </si>
  <si>
    <t>Forecast inflation</t>
  </si>
  <si>
    <t>Franking credit value</t>
  </si>
  <si>
    <t>Forecast</t>
  </si>
  <si>
    <t>BENCHMARK TAX RELATED INPUTS</t>
  </si>
  <si>
    <t>Actual</t>
  </si>
  <si>
    <t>Proposed</t>
  </si>
  <si>
    <t>Nominal $</t>
  </si>
  <si>
    <t>Quantities</t>
  </si>
  <si>
    <t>Metering data services</t>
  </si>
  <si>
    <t>Charge per meter ($ p.a.)</t>
  </si>
  <si>
    <t>metering data services - monthly read meter</t>
  </si>
  <si>
    <t>metering data services - quarterly read meter</t>
  </si>
  <si>
    <t>Charge per NMIs ($ p.a.)</t>
  </si>
  <si>
    <t>Meter provision Charge</t>
  </si>
  <si>
    <t>single phase single element meter</t>
  </si>
  <si>
    <t>single phase single element meter with contactor</t>
  </si>
  <si>
    <t>single phase two element meter with contactor</t>
  </si>
  <si>
    <t>three phase direct connected meter</t>
  </si>
  <si>
    <t>three phase direct connected meter with contactor</t>
  </si>
  <si>
    <t>three phase Current transformer connected meter</t>
  </si>
  <si>
    <t>CPI Index</t>
  </si>
  <si>
    <t>GROSS CAPITAL EXPENDITURE</t>
  </si>
  <si>
    <t>DISTRIBUTOR INPUTS</t>
  </si>
  <si>
    <t>AER INPUTS</t>
  </si>
  <si>
    <t>IMRO  - DATA INPUTS</t>
  </si>
  <si>
    <t>Actual Capex Nominal $</t>
  </si>
  <si>
    <t>Accumulation Meters</t>
  </si>
  <si>
    <t>Metering Data Services (IT)</t>
  </si>
  <si>
    <t>Metering Data Services (Other)</t>
  </si>
  <si>
    <t>Total</t>
  </si>
  <si>
    <t>F'cast $2007 Real</t>
  </si>
  <si>
    <t>Capital Expenditure by Taxation Category</t>
  </si>
  <si>
    <t>Tax Depn rate</t>
  </si>
  <si>
    <t>Standard metering (Group 1)</t>
  </si>
  <si>
    <t>Standard metering (Group 2)</t>
  </si>
  <si>
    <t>Maintenance</t>
  </si>
  <si>
    <t>Meter Maintenance</t>
  </si>
  <si>
    <t>Meter replacement costs (customer service costs)</t>
  </si>
  <si>
    <t>Indirect Overheads</t>
  </si>
  <si>
    <t xml:space="preserve"> - Number of customers with meters</t>
  </si>
  <si>
    <t>Number of meters read monthly - accumulation</t>
  </si>
  <si>
    <t>Number of meters read quarterly - accumulation</t>
  </si>
  <si>
    <t>Number of meters read monthly  - interval</t>
  </si>
  <si>
    <t>Number of meters read quarterly  - interval</t>
  </si>
  <si>
    <t xml:space="preserve"> - Meter replacement installations</t>
  </si>
  <si>
    <t>TARIFF REVENUE</t>
  </si>
  <si>
    <t>Actual Tariff Revenue Nominal $</t>
  </si>
  <si>
    <t>Actual Tariff Revenue</t>
  </si>
  <si>
    <t>Pre Start Date Costs (AMI Only)</t>
  </si>
  <si>
    <t>Telecommunications systems - WAN / 'Backhaul'</t>
  </si>
  <si>
    <t>IT systems</t>
  </si>
  <si>
    <t>Technology trials</t>
  </si>
  <si>
    <t>Customer response trials</t>
  </si>
  <si>
    <t>Project management including training and project office</t>
  </si>
  <si>
    <t>Customer service costs</t>
  </si>
  <si>
    <t>Other costs of provision of reg. services</t>
  </si>
  <si>
    <t>Indirect costs</t>
  </si>
  <si>
    <t>Actual O &amp; M Nominal $</t>
  </si>
  <si>
    <t>Only include prescribed metering services costs under the current Price Determination 1/1/2006 to 31/12/2008.</t>
  </si>
  <si>
    <t>Annual CPI</t>
  </si>
  <si>
    <t>CPI p.a.</t>
  </si>
  <si>
    <t>Escalator : Nominal $ to Real $ 2008</t>
  </si>
  <si>
    <t>WEIGHTED AVERAGE COST OF CAPITAL (WACC) :  EDPR 2006-10</t>
  </si>
  <si>
    <t>Risk free rate (real)</t>
  </si>
  <si>
    <t>Debt premium</t>
  </si>
  <si>
    <t>After tax cost of equity (real)</t>
  </si>
  <si>
    <t>After tax cost of equity (nominal)</t>
  </si>
  <si>
    <t>Cost of debt (real)</t>
  </si>
  <si>
    <t>Cost of debt (nominal)</t>
  </si>
  <si>
    <t>'Vanilla' after tax WACC (real)</t>
  </si>
  <si>
    <t>Inflation</t>
  </si>
  <si>
    <t>CPI increase</t>
  </si>
  <si>
    <t>Company income tax rate</t>
  </si>
  <si>
    <t>Tax Depreciation Rates</t>
  </si>
  <si>
    <t>Metering data services (IT related)</t>
  </si>
  <si>
    <t>Metering data services (other)</t>
  </si>
  <si>
    <t>BENCHMARK TAX RELATED INPUTS : EDPR 2006-10</t>
  </si>
  <si>
    <t>DUOS TAX OFFSET : EDPR 2006-10</t>
  </si>
  <si>
    <t>Efficiency Carry-over : EDPR 2006-10</t>
  </si>
  <si>
    <t>Forecast Quantities</t>
  </si>
  <si>
    <t>Benchmark Unit Costs (Real 2004 $)</t>
  </si>
  <si>
    <t>Meter Maintenance per customer</t>
  </si>
  <si>
    <t>O &amp; M EXPENDITURE BENCHMARKS (Real 2004 $)</t>
  </si>
  <si>
    <t>Metering data services :</t>
  </si>
  <si>
    <t xml:space="preserve"> - Cost per read accumulation meter</t>
  </si>
  <si>
    <t xml:space="preserve"> - Cost per read interval meter</t>
  </si>
  <si>
    <t xml:space="preserve"> - Meter data management per customer - accumulation meter</t>
  </si>
  <si>
    <t xml:space="preserve"> - Meter data management per customer - read interval meter</t>
  </si>
  <si>
    <t>Total O &amp; M included in Efficiency Carry-over</t>
  </si>
  <si>
    <t>O &amp; M Expenditure not included in Efficiency Carry-over</t>
  </si>
  <si>
    <t>Total O &amp; M not included in Efficiency Carry-over</t>
  </si>
  <si>
    <t>Total O &amp; M</t>
  </si>
  <si>
    <t>Operating costs - Indirect Overheads</t>
  </si>
  <si>
    <t>Maintenance costs - Metering data services (IT related)</t>
  </si>
  <si>
    <t>Regulatory Depreciation</t>
  </si>
  <si>
    <t>Total Pre Start Date Costs (AMI Only)</t>
  </si>
  <si>
    <t>STANDARD METERING (PRESCRIBED SERVICE)</t>
  </si>
  <si>
    <t>($m 1/7/2004)</t>
  </si>
  <si>
    <t xml:space="preserve">Total building blocks revenue requirement - standard metering </t>
  </si>
  <si>
    <t>Gross Benchmark Revenue Requirement</t>
  </si>
  <si>
    <t>Net Capital Expenditure</t>
  </si>
  <si>
    <t>O&amp;M Expenditure</t>
  </si>
  <si>
    <t>Benchmark Tax Liability</t>
  </si>
  <si>
    <t>Net Cash Flow</t>
  </si>
  <si>
    <t>Standard metering revenue from metering charges</t>
  </si>
  <si>
    <t>Forecast Tariff Revenue</t>
  </si>
  <si>
    <t>NPV Building Blocks Revenue Requirement less NPV Revenue from Metering Charges</t>
  </si>
  <si>
    <t>Revenue from metering charges</t>
  </si>
  <si>
    <t>$m (MOD)</t>
  </si>
  <si>
    <t>Customer Contributions</t>
  </si>
  <si>
    <t>Operating &amp; maintenance expenditure</t>
  </si>
  <si>
    <t>Tax depreciation</t>
  </si>
  <si>
    <t>Interest</t>
  </si>
  <si>
    <t>Tax losses brought forward</t>
  </si>
  <si>
    <t>Taxable profit/(loss)</t>
  </si>
  <si>
    <t>Cost of Tax</t>
  </si>
  <si>
    <t>Franking benefit</t>
  </si>
  <si>
    <t>Benchmark Tax Liability $m (MOD)</t>
  </si>
  <si>
    <t>Benchmark Tax Liability $m (1/7/2004)</t>
  </si>
  <si>
    <t>BUILDING BLOCKS PRESCRIBED SERVICES REVENUE REQUIREMENT (METERING SERVICES)</t>
  </si>
  <si>
    <t>Return on assets</t>
  </si>
  <si>
    <t>Regulatory depreciation</t>
  </si>
  <si>
    <t>O&amp;M expenditure</t>
  </si>
  <si>
    <t>Forecast tax liability</t>
  </si>
  <si>
    <t>TAXATION CALCULATION</t>
  </si>
  <si>
    <t>Gearing</t>
  </si>
  <si>
    <t>Tax rate</t>
  </si>
  <si>
    <t>Revenue requirement ($m 1/7/2004)</t>
  </si>
  <si>
    <t>Customer contributions ($m 1/7/2004)</t>
  </si>
  <si>
    <t>Operating &amp; maintenance expenditure ($m 1/7/2004)</t>
  </si>
  <si>
    <t>Average RAB ($m 1/7/2004)</t>
  </si>
  <si>
    <t>Inflation factor</t>
  </si>
  <si>
    <t>Debt margin</t>
  </si>
  <si>
    <t>($m MOD)</t>
  </si>
  <si>
    <t>Revenue requirement</t>
  </si>
  <si>
    <t>After tax net income</t>
  </si>
  <si>
    <t>Cost of tax</t>
  </si>
  <si>
    <t>Forecast tax liability ($m MOD)</t>
  </si>
  <si>
    <t>Forecast tax liability ($m 1/7/2004)</t>
  </si>
  <si>
    <t>Forecast tax liability (% 1/7/2004)</t>
  </si>
  <si>
    <t>O&amp;M EXPENDITURE - METERING SERVICES</t>
  </si>
  <si>
    <t>($000 1/7/2004)</t>
  </si>
  <si>
    <t>Maintenance costs</t>
  </si>
  <si>
    <t>Standard metering (accumulation meters and interval meters)</t>
  </si>
  <si>
    <t>Operating costs</t>
  </si>
  <si>
    <t>IT Operating expenditure</t>
  </si>
  <si>
    <t>TOTAL O&amp;M COSTS</t>
  </si>
  <si>
    <t>CAPITAL EXPENDITURE - METERING SERVICES</t>
  </si>
  <si>
    <t>Standard metering (accumulation meters) - gross</t>
  </si>
  <si>
    <t>Standard metering (interval meters) - gross</t>
  </si>
  <si>
    <t>Standard metering (net of customer contributions)</t>
  </si>
  <si>
    <t>Metering data services (Other)</t>
  </si>
  <si>
    <t>TOTAL CAPEX</t>
  </si>
  <si>
    <t>REGULATED ASSET BASE - METERING SERVICES</t>
  </si>
  <si>
    <t>Standard metering (accumulation meters)</t>
  </si>
  <si>
    <t>Opening asset base</t>
  </si>
  <si>
    <t>Capital expenditure (net of customer contributions)</t>
  </si>
  <si>
    <t>Closing asset base</t>
  </si>
  <si>
    <t>Average asset base</t>
  </si>
  <si>
    <t>Standard metering (interval meters)</t>
  </si>
  <si>
    <t>Depreciation</t>
  </si>
  <si>
    <t>Disposals</t>
  </si>
  <si>
    <t>Regulatory depreciation lives on capex 2006-10</t>
  </si>
  <si>
    <t>Weighted average regulatory life (years)</t>
  </si>
  <si>
    <t>Regulatory depreciation on capex 2006-10 ($000 1/7/2004)</t>
  </si>
  <si>
    <t>Depreciation Factors</t>
  </si>
  <si>
    <t>Avg Reg Life</t>
  </si>
  <si>
    <t>REGULATED TAX ASSET VALUE</t>
  </si>
  <si>
    <t>$'000 (MOD)</t>
  </si>
  <si>
    <t>Post Ralph Tax Depreciation</t>
  </si>
  <si>
    <t>Asset Class</t>
  </si>
  <si>
    <t>Tax Depreciation Declining Balance</t>
  </si>
  <si>
    <t>Standard metering (prescribed service)</t>
  </si>
  <si>
    <t>Gross Capex Standard Metering ($000 1/7/2004)</t>
  </si>
  <si>
    <t>Total gross capex standard metering</t>
  </si>
  <si>
    <t xml:space="preserve">   - accumulation</t>
  </si>
  <si>
    <t xml:space="preserve">   - interval</t>
  </si>
  <si>
    <t xml:space="preserve">  - single phase non off peak meters</t>
  </si>
  <si>
    <t xml:space="preserve">  - single phase off peak meters</t>
  </si>
  <si>
    <t xml:space="preserve">  - three phase direct connected meters</t>
  </si>
  <si>
    <t xml:space="preserve">  - three phase CT connected meters</t>
  </si>
  <si>
    <t>Total (net of customer contributions)</t>
  </si>
  <si>
    <t>($'000 MOD)</t>
  </si>
  <si>
    <t>Opening asset value ($m)</t>
  </si>
  <si>
    <t>Gross capex</t>
  </si>
  <si>
    <t>Closing asset value</t>
  </si>
  <si>
    <t>Forecast unit costs and Volumes for O &amp; M and Capex</t>
  </si>
  <si>
    <t>($ 1/7/2004)</t>
  </si>
  <si>
    <t>Capital expenditure</t>
  </si>
  <si>
    <t>Material cost (including warehouse and transport) , Installation costs</t>
  </si>
  <si>
    <t>Unit Costs per meter installed</t>
  </si>
  <si>
    <t>Volumes of Meters installed</t>
  </si>
  <si>
    <t>New installations</t>
  </si>
  <si>
    <t xml:space="preserve">    - single phase non off peak</t>
  </si>
  <si>
    <t xml:space="preserve">    - single phase off peak</t>
  </si>
  <si>
    <t xml:space="preserve">    - three phase direct connected</t>
  </si>
  <si>
    <t xml:space="preserve">    - three phase CT connected</t>
  </si>
  <si>
    <t>Replacement installations</t>
  </si>
  <si>
    <t>Project management and training, p.a.</t>
  </si>
  <si>
    <t>Metering data services - IT, p.a.</t>
  </si>
  <si>
    <t>Metering data services - other, p.a.</t>
  </si>
  <si>
    <t xml:space="preserve">Operating and Maintenance expenditure </t>
  </si>
  <si>
    <t>Number of customers with meters</t>
  </si>
  <si>
    <t>Unit Costs - per customer</t>
  </si>
  <si>
    <t>Maintenance - metering data services, per annum</t>
  </si>
  <si>
    <t>Operating Costs</t>
  </si>
  <si>
    <t>Customer service costs, per meter installed</t>
  </si>
  <si>
    <t>Metering data services, per read</t>
  </si>
  <si>
    <t xml:space="preserve">   - interval </t>
  </si>
  <si>
    <t xml:space="preserve">   - meter data management - accumulation</t>
  </si>
  <si>
    <t xml:space="preserve">   - meter data management - Interval</t>
  </si>
  <si>
    <t>Volumes of meter reading per cycle</t>
  </si>
  <si>
    <t>No. of meters read monthly - accumulation</t>
  </si>
  <si>
    <t>No. of meters read quarterly - accumulation</t>
  </si>
  <si>
    <t>No. of meters read monthly  - interval</t>
  </si>
  <si>
    <t>No. of meters read quarterly  - interval</t>
  </si>
  <si>
    <t>Forecast Meter Charges and Quantities</t>
  </si>
  <si>
    <t>Annual Prices</t>
  </si>
  <si>
    <t>Metering data services (type 5 and 6)</t>
  </si>
  <si>
    <t>Charge per meter ($ per annum)</t>
  </si>
  <si>
    <t>Number of meters read monthly - accumulation meters</t>
  </si>
  <si>
    <t>Number of meters read quarterly - accumulation meters</t>
  </si>
  <si>
    <t>Number of meters read monthly - interval meters</t>
  </si>
  <si>
    <t>Number of meters read quarterly - interval meters</t>
  </si>
  <si>
    <t>Charge per NMIs ($ per annum)</t>
  </si>
  <si>
    <t>Metering data services (type 7)</t>
  </si>
  <si>
    <t>Unmetered supplies</t>
  </si>
  <si>
    <t>($ per annum)</t>
  </si>
  <si>
    <t xml:space="preserve">   -  Number of NMIs</t>
  </si>
  <si>
    <t xml:space="preserve">   -  Number of lights</t>
  </si>
  <si>
    <t>Number of customers with a single phase non off peak meter</t>
  </si>
  <si>
    <t>Number of customers with a single phase off peak meter</t>
  </si>
  <si>
    <t>Number of customers with a three phase direct connected meter</t>
  </si>
  <si>
    <t>Number of customers with a three phase CT connected meter</t>
  </si>
  <si>
    <t>Total revenues</t>
  </si>
  <si>
    <t>Number of NMIs read monthly - accumulation meters</t>
  </si>
  <si>
    <t>Number of NMIs read quarterly - accumulation meters</t>
  </si>
  <si>
    <t>Number of NMIs read monthly - interval meters</t>
  </si>
  <si>
    <t>Number of NMIs read quarterly - interval meters</t>
  </si>
  <si>
    <t>Total Revenues</t>
  </si>
  <si>
    <t>Actual CPI</t>
  </si>
  <si>
    <t>O &amp; M Expenditure</t>
  </si>
  <si>
    <t>TOTAL O&amp;M Expenditure</t>
  </si>
  <si>
    <t>Customer Contributions and Disposals</t>
  </si>
  <si>
    <t>Manually read interval meters</t>
  </si>
  <si>
    <t>Accumulation meters</t>
  </si>
  <si>
    <t>Customer services (meter replacements)</t>
  </si>
  <si>
    <t xml:space="preserve"> - Meter reading per cycle :</t>
  </si>
  <si>
    <t>O &amp; M Expenditure included in Efficiency Carry-over</t>
  </si>
  <si>
    <t>Operating cost - Customer services (meter replacements)</t>
  </si>
  <si>
    <t>Operating cost - Metering data services</t>
  </si>
  <si>
    <t>Maintenance cost - Accumulation and Interval meters</t>
  </si>
  <si>
    <t>Excluded from ECM</t>
  </si>
  <si>
    <t>Included in ECM</t>
  </si>
  <si>
    <t>Total O&amp;M included in Efficiency Carry-over Mechanism (ECM)</t>
  </si>
  <si>
    <t>Efficiency Carry-over : Actual Quantities</t>
  </si>
  <si>
    <t>Funding:  - Equity raising</t>
  </si>
  <si>
    <t xml:space="preserve">                 - Interest and exchange rate hedging costs</t>
  </si>
  <si>
    <t>Regulatory Depreciation :  2009-13</t>
  </si>
  <si>
    <t>Regulatory Depreciation Lives :  EDPR 2006-10</t>
  </si>
  <si>
    <t>Declining Balance</t>
  </si>
  <si>
    <t>IT</t>
  </si>
  <si>
    <t>Other</t>
  </si>
  <si>
    <t>Communications</t>
  </si>
  <si>
    <t>Year</t>
  </si>
  <si>
    <t>Single phase non off peak meter</t>
  </si>
  <si>
    <t>Single phase off peak meter</t>
  </si>
  <si>
    <t>Three phase direct connected meter</t>
  </si>
  <si>
    <t>Three phase CT connected meter</t>
  </si>
  <si>
    <t>Proposed Tariffs</t>
  </si>
  <si>
    <t>Proposed Tariffs and Forecast Tariff Quantities</t>
  </si>
  <si>
    <t>Accumulation meters and manually read interval meters</t>
  </si>
  <si>
    <t>depreciated by end of</t>
  </si>
  <si>
    <t>($000 Real 2008)</t>
  </si>
  <si>
    <t>Total metering (net of customer contributions)</t>
  </si>
  <si>
    <t>Regulatory depreciation lives on capex 2006-08</t>
  </si>
  <si>
    <t>Regulatory depreciation on capex 2006-08</t>
  </si>
  <si>
    <t>Tariff Revenue</t>
  </si>
  <si>
    <t>Tax liability</t>
  </si>
  <si>
    <t>Prescribed Metering costs</t>
  </si>
  <si>
    <t>Vanilla' after tax WACC (Nominal)</t>
  </si>
  <si>
    <t>($000 Nominal)</t>
  </si>
  <si>
    <t>Net offset</t>
  </si>
  <si>
    <t>Prescribed Metering offset</t>
  </si>
  <si>
    <t>($000 Real 2004)</t>
  </si>
  <si>
    <t>Metering Taxable loss</t>
  </si>
  <si>
    <t>Duos tax offset</t>
  </si>
  <si>
    <t>Duos Tax Offset : EDPR 2006-10</t>
  </si>
  <si>
    <t>Efficiency Carry-over</t>
  </si>
  <si>
    <t>Duos Tax Offset</t>
  </si>
  <si>
    <t>AMI O &amp; M costs</t>
  </si>
  <si>
    <t>WACC adjustment factor (time value of money)</t>
  </si>
  <si>
    <t>WEIGHTED AVERAGE COST OF CAPITAL (WACC)</t>
  </si>
  <si>
    <t>Risk free rate (nominal)</t>
  </si>
  <si>
    <t>Meter maintenance</t>
  </si>
  <si>
    <t>Actual costs</t>
  </si>
  <si>
    <t>Incremental gain</t>
  </si>
  <si>
    <t>Efficiency</t>
  </si>
  <si>
    <t>Regulatory Asset Base</t>
  </si>
  <si>
    <t>Opening RAB</t>
  </si>
  <si>
    <t>Gross capital expenditure</t>
  </si>
  <si>
    <t>Closing RAB</t>
  </si>
  <si>
    <t>Average RAB</t>
  </si>
  <si>
    <t>Net Capex</t>
  </si>
  <si>
    <t>RAB WDV</t>
  </si>
  <si>
    <t xml:space="preserve"> 1/01/2009</t>
  </si>
  <si>
    <t>Life (years)</t>
  </si>
  <si>
    <t>Remaining</t>
  </si>
  <si>
    <t>RAB at 1 January 2009</t>
  </si>
  <si>
    <t>Net</t>
  </si>
  <si>
    <t>Capex</t>
  </si>
  <si>
    <t>RAB AMI Capex 2009-11</t>
  </si>
  <si>
    <t>Regulatory Depreciation on Opening Assets at 1 January 2009 - IMRO Capex 2006-08</t>
  </si>
  <si>
    <t>Regulatory Depreciation on Opening Assets at 1 January 2009 - AMI Capex 2006-08</t>
  </si>
  <si>
    <t>TAX DEPRECIATION</t>
  </si>
  <si>
    <t>Tax Asset Class</t>
  </si>
  <si>
    <t>BUILDING BLOCKS AMI REVENUE REQUIREMENT</t>
  </si>
  <si>
    <t>Taxation calculation</t>
  </si>
  <si>
    <t>Revenue</t>
  </si>
  <si>
    <t>Total Revenue</t>
  </si>
  <si>
    <t>AMI Building Blocks Costs 2009-11</t>
  </si>
  <si>
    <t>Vanilla' after tax WACC (real)</t>
  </si>
  <si>
    <t>Vanilla' after tax WACC (nominal)</t>
  </si>
  <si>
    <t>Discount factor</t>
  </si>
  <si>
    <t>NPV Costs</t>
  </si>
  <si>
    <t>NPV Revenue</t>
  </si>
  <si>
    <t>Total costs</t>
  </si>
  <si>
    <t>Over\(Under) recovery of costs</t>
  </si>
  <si>
    <t>Offset of costs and revenue 2006-08</t>
  </si>
  <si>
    <t>Total Offset of costs and revenue 2006-08 (WACC adjusted)</t>
  </si>
  <si>
    <t>Straight-line depreciation</t>
  </si>
  <si>
    <t>Less Inflation indexation</t>
  </si>
  <si>
    <t>Total building blocks - AMI</t>
  </si>
  <si>
    <t>Applying Vanilla' after tax WACC (real)</t>
  </si>
  <si>
    <t>Applying Vanilla' after tax WACC (nominal)</t>
  </si>
  <si>
    <t>($000 MOD)</t>
  </si>
  <si>
    <t>Tax liability ($000 MOD)</t>
  </si>
  <si>
    <t>Opening asset value</t>
  </si>
  <si>
    <t>Benchmark costs (adjusted for actual quantities)</t>
  </si>
  <si>
    <t>Actual Quantities</t>
  </si>
  <si>
    <t>Standard metering (Group 2) (Unit cost =&gt; $1,000)</t>
  </si>
  <si>
    <t>Standard metering (Group 1) (Unit cost &lt; $1,000)</t>
  </si>
  <si>
    <t>Underspend\(Overspend)</t>
  </si>
  <si>
    <t>SP AusNet</t>
  </si>
  <si>
    <t>X1-4</t>
  </si>
  <si>
    <t xml:space="preserve">  - three phase direct connected meters MMC</t>
  </si>
  <si>
    <t xml:space="preserve">    - three phase direct connected MMC</t>
  </si>
  <si>
    <t>X0</t>
  </si>
  <si>
    <t>Number of customers with a three phase direct connected meter MMC</t>
  </si>
  <si>
    <t>Charge per Meter ($ p.a.)</t>
  </si>
  <si>
    <t>Metering Taxable profit/(loss) ($MOD)</t>
  </si>
  <si>
    <t>Remotely read interval meters &amp; transformers</t>
  </si>
  <si>
    <t>Meters and transformers (Group 1) (Unit cost &lt; $1,000)</t>
  </si>
  <si>
    <t>Meters and transformers (Group 2) (Unit cost =&gt; $1,000)</t>
  </si>
  <si>
    <t>Other Category 1 : Describe………………..</t>
  </si>
  <si>
    <t>Other Category 2 : Describe………………..</t>
  </si>
  <si>
    <t>Other Category 3 : Describe………………..</t>
  </si>
  <si>
    <t>Other Category 4 : Describe………………..</t>
  </si>
  <si>
    <t>Other Category 5 : Describe………………..</t>
  </si>
  <si>
    <t>Single phase single element 1 contactor (1load control)</t>
  </si>
  <si>
    <t>Single phase two element 2 contactors (2 load controls)</t>
  </si>
  <si>
    <t>Multiphase 1 contactor (1 load control)</t>
  </si>
  <si>
    <t>Multiphase 2 contactors (2 load controls)</t>
  </si>
  <si>
    <t>Multiphase CT connected</t>
  </si>
  <si>
    <t>Instructions</t>
  </si>
  <si>
    <t>Distributor data input fields are shaded</t>
  </si>
  <si>
    <t>Data input values are not to be rounded to $'000s or $'000,000s but inputted as individual $ units.</t>
  </si>
  <si>
    <t>Depreciated by end of  2013</t>
  </si>
  <si>
    <t>Tariffs</t>
  </si>
  <si>
    <t>Regulatory depreciation on AMI Capex 2009-15</t>
  </si>
  <si>
    <t xml:space="preserve">Initial AMI WACC - </t>
  </si>
  <si>
    <t>1 January 2009 to 31 December 2013</t>
  </si>
  <si>
    <t>AMI WACC</t>
  </si>
  <si>
    <t xml:space="preserve">Subsequent AMI WACC - </t>
  </si>
  <si>
    <t>1 January 2014 to 31 December 2015</t>
  </si>
  <si>
    <t>Actual Tariffs</t>
  </si>
  <si>
    <t>AMI DATA INPUTS 2009 - 2015</t>
  </si>
  <si>
    <t>Initial AMI WACC -</t>
  </si>
  <si>
    <t>FORECAST TARIFF REVENUE</t>
  </si>
  <si>
    <t>Global Check</t>
  </si>
  <si>
    <t>Operating and Maintenance Expenditure (excluding debt raisiing costs in 2014-15)</t>
  </si>
  <si>
    <t>Debt raisiing costs in 2014-15</t>
  </si>
  <si>
    <t xml:space="preserve">Debt Raising Cost Benchmark </t>
  </si>
  <si>
    <t xml:space="preserve">Single phase single element </t>
  </si>
  <si>
    <t xml:space="preserve">Single phase two element </t>
  </si>
  <si>
    <t xml:space="preserve">Multiphase </t>
  </si>
  <si>
    <t>Multiphase with contactor</t>
  </si>
  <si>
    <t xml:space="preserve">Multiphase CT </t>
  </si>
  <si>
    <t>REAL 2008 $ INPUTS</t>
  </si>
  <si>
    <t>NOMINAL INPUTS</t>
  </si>
  <si>
    <t>The ABS changed the index reference base in September 2012 from 1989-90 to 2011-12.</t>
  </si>
  <si>
    <t>Operating and Maintenance Expenditure (including debt raisiing costs in 2014-15)</t>
  </si>
  <si>
    <t>These templates are for the AMI 2015 Charges Application.</t>
  </si>
  <si>
    <t>AMI Costs and Revenues for 2013 and 2014 are to be expressed in</t>
  </si>
  <si>
    <t>AMI Costs for 2015 are to be expressed in</t>
  </si>
  <si>
    <t>Real 2014 $</t>
  </si>
  <si>
    <t>AMI Proposed Tariffs for 2015 are to be expressed in</t>
  </si>
  <si>
    <t>AMI Proposed Tariffs for 2015 are to be rounded to whole cents.</t>
  </si>
  <si>
    <t>AMI DATA INPUTS 2013 - 2015</t>
  </si>
  <si>
    <t xml:space="preserve">      and located in tab "DNSP Data Inputs 2013-15".</t>
  </si>
  <si>
    <t>AMI DATA INPUTS 2009 - 2012</t>
  </si>
  <si>
    <t>Opening RAB 2016</t>
  </si>
  <si>
    <t>Opening Tax Value 2016</t>
  </si>
  <si>
    <t>Asset Categories</t>
  </si>
  <si>
    <t>($m Dec 2015)</t>
  </si>
  <si>
    <t>Standard Life</t>
  </si>
  <si>
    <t>Remaining Life</t>
  </si>
  <si>
    <t>($m Nominal)</t>
  </si>
  <si>
    <t>Tax Standard Life</t>
  </si>
  <si>
    <t>Tax Remaining Life</t>
  </si>
  <si>
    <t>Tax Losses</t>
  </si>
  <si>
    <t>RAB Remaining Lives</t>
  </si>
  <si>
    <t>Closing Asset</t>
  </si>
  <si>
    <t>Weighted Avg</t>
  </si>
  <si>
    <t>Depn Factor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</si>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</sst>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7" formatCode="&quot;$&quot;#,##0.00;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"/>
    <numFmt numFmtId="165" formatCode="0.0%"/>
    <numFmt numFmtId="166" formatCode="#,##0.000"/>
    <numFmt numFmtId="167" formatCode="#,##0.0_ ;\-#,##0.0\ "/>
    <numFmt numFmtId="168" formatCode="0.00000"/>
    <numFmt numFmtId="169" formatCode="_-* #,##0.0_-;\-* #,##0.0_-;_-* &quot;-&quot;??_-;_-@_-"/>
    <numFmt numFmtId="170" formatCode="#,##0;\(#,##0\)"/>
    <numFmt numFmtId="171" formatCode="0.0"/>
    <numFmt numFmtId="172" formatCode="_-&quot;$&quot;* #,##0_-;\-&quot;$&quot;* #,##0_-;_-&quot;$&quot;* &quot;-&quot;??_-;_-@_-"/>
    <numFmt numFmtId="173" formatCode="_-&quot;$&quot;* #,##0.000_-;\-&quot;$&quot;* #,##0.000_-;_-&quot;$&quot;* &quot;-&quot;??_-;_-@_-"/>
    <numFmt numFmtId="174" formatCode="#,##0.0000"/>
    <numFmt numFmtId="175" formatCode="_-* #,##0.000_-;\-* #,##0.000_-;_-* &quot;-&quot;??_-;_-@_-"/>
    <numFmt numFmtId="176" formatCode="0.000%"/>
    <numFmt numFmtId="177" formatCode="#,##0.00000"/>
    <numFmt numFmtId="178" formatCode="#,##0.000000"/>
    <numFmt numFmtId="179" formatCode="#,##0.00_ ;\-#,##0.00\ "/>
    <numFmt numFmtId="180" formatCode="0.0000000%"/>
    <numFmt numFmtId="181" formatCode="#,##0.0;\(#,##0.0\)"/>
    <numFmt numFmtId="182" formatCode="#,##0;\(#,##0\);&quot;-&quot;"/>
    <numFmt numFmtId="183" formatCode="0.00000%"/>
    <numFmt numFmtId="184" formatCode="#,##0.0000000"/>
    <numFmt numFmtId="185" formatCode="&quot;$&quot;#,##0.000;\-&quot;$&quot;#,##0.000"/>
    <numFmt numFmtId="186" formatCode="_(* #,##0_);_(* \(#,##0\);_(* &quot;-&quot;_);_(@_)"/>
    <numFmt numFmtId="187" formatCode="#,##0.00000000000000"/>
    <numFmt numFmtId="188" formatCode="0.000000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b/>
      <u/>
      <sz val="11"/>
      <color indexed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b/>
      <sz val="14"/>
      <name val="Times New Roman"/>
      <family val="1"/>
    </font>
    <font>
      <b/>
      <sz val="10"/>
      <color indexed="10"/>
      <name val="Times New Roman"/>
      <family val="1"/>
    </font>
    <font>
      <sz val="10"/>
      <color indexed="63"/>
      <name val="Times New Roman"/>
      <family val="1"/>
    </font>
    <font>
      <sz val="10"/>
      <color indexed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u/>
      <sz val="10"/>
      <name val="Times New Roman"/>
      <family val="1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1"/>
      <name val="Tahoma"/>
      <family val="2"/>
    </font>
    <font>
      <b/>
      <sz val="10"/>
      <color indexed="12"/>
      <name val="Arial"/>
      <family val="2"/>
    </font>
    <font>
      <sz val="10"/>
      <color indexed="63"/>
      <name val="Arial"/>
      <family val="2"/>
    </font>
    <font>
      <sz val="10"/>
      <color indexed="55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0033CC"/>
      <name val="Arial"/>
      <family val="2"/>
    </font>
    <font>
      <b/>
      <sz val="16"/>
      <color indexed="9"/>
      <name val="Arial"/>
      <family val="2"/>
    </font>
    <font>
      <b/>
      <sz val="12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56"/>
      </patternFill>
    </fill>
    <fill>
      <patternFill patternType="solid">
        <fgColor indexed="13"/>
        <bgColor indexed="56"/>
      </patternFill>
    </fill>
    <fill>
      <patternFill patternType="solid">
        <fgColor indexed="41"/>
        <bgColor indexed="56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56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17" fillId="0" borderId="0"/>
    <xf numFmtId="9" fontId="3" fillId="0" borderId="0" applyFont="0" applyFill="0" applyBorder="0" applyAlignment="0" applyProtection="0"/>
    <xf numFmtId="0" fontId="3" fillId="0" borderId="0"/>
    <xf numFmtId="186" fontId="3" fillId="10" borderId="0" applyFont="0" applyBorder="0" applyAlignment="0">
      <alignment horizontal="right"/>
      <protection locked="0"/>
    </xf>
    <xf numFmtId="186" fontId="3" fillId="11" borderId="0" applyFont="0" applyBorder="0">
      <alignment horizontal="right"/>
      <protection locked="0"/>
    </xf>
    <xf numFmtId="0" fontId="2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 applyFill="0"/>
    <xf numFmtId="0" fontId="3" fillId="0" borderId="0"/>
    <xf numFmtId="0" fontId="1" fillId="0" borderId="0"/>
    <xf numFmtId="0" fontId="51" fillId="15" borderId="0"/>
    <xf numFmtId="0" fontId="51" fillId="12" borderId="0">
      <alignment horizontal="left" vertical="center"/>
      <protection locked="0"/>
    </xf>
    <xf numFmtId="0" fontId="52" fillId="16" borderId="0">
      <alignment vertical="center"/>
      <protection locked="0"/>
    </xf>
  </cellStyleXfs>
  <cellXfs count="979">
    <xf numFmtId="0" fontId="0" fillId="0" borderId="0" xfId="0"/>
    <xf numFmtId="0" fontId="5" fillId="0" borderId="0" xfId="4" applyFont="1" applyFill="1"/>
    <xf numFmtId="0" fontId="5" fillId="0" borderId="0" xfId="4" applyFont="1" applyFill="1" applyBorder="1"/>
    <xf numFmtId="0" fontId="6" fillId="0" borderId="1" xfId="4" applyFont="1" applyFill="1" applyBorder="1"/>
    <xf numFmtId="0" fontId="6" fillId="0" borderId="2" xfId="4" quotePrefix="1" applyFont="1" applyFill="1" applyBorder="1" applyAlignment="1">
      <alignment horizontal="right"/>
    </xf>
    <xf numFmtId="0" fontId="6" fillId="0" borderId="3" xfId="4" quotePrefix="1" applyFont="1" applyFill="1" applyBorder="1" applyAlignment="1">
      <alignment horizontal="right"/>
    </xf>
    <xf numFmtId="0" fontId="6" fillId="0" borderId="4" xfId="4" quotePrefix="1" applyFont="1" applyFill="1" applyBorder="1" applyAlignment="1">
      <alignment horizontal="right"/>
    </xf>
    <xf numFmtId="0" fontId="9" fillId="0" borderId="1" xfId="4" applyFont="1" applyFill="1" applyBorder="1"/>
    <xf numFmtId="3" fontId="11" fillId="2" borderId="5" xfId="4" applyNumberFormat="1" applyFont="1" applyFill="1" applyBorder="1"/>
    <xf numFmtId="3" fontId="11" fillId="2" borderId="0" xfId="4" applyNumberFormat="1" applyFont="1" applyFill="1" applyBorder="1"/>
    <xf numFmtId="3" fontId="11" fillId="2" borderId="6" xfId="4" applyNumberFormat="1" applyFont="1" applyFill="1" applyBorder="1"/>
    <xf numFmtId="3" fontId="5" fillId="0" borderId="7" xfId="4" applyNumberFormat="1" applyFont="1" applyFill="1" applyBorder="1"/>
    <xf numFmtId="3" fontId="5" fillId="0" borderId="8" xfId="4" applyNumberFormat="1" applyFont="1" applyFill="1" applyBorder="1"/>
    <xf numFmtId="3" fontId="5" fillId="0" borderId="9" xfId="4" applyNumberFormat="1" applyFont="1" applyFill="1" applyBorder="1"/>
    <xf numFmtId="0" fontId="10" fillId="0" borderId="1" xfId="4" applyFont="1" applyFill="1" applyBorder="1"/>
    <xf numFmtId="3" fontId="10" fillId="0" borderId="0" xfId="4" applyNumberFormat="1" applyFont="1" applyFill="1" applyBorder="1" applyAlignment="1">
      <alignment horizontal="center"/>
    </xf>
    <xf numFmtId="3" fontId="11" fillId="2" borderId="7" xfId="4" applyNumberFormat="1" applyFont="1" applyFill="1" applyBorder="1"/>
    <xf numFmtId="3" fontId="11" fillId="2" borderId="8" xfId="4" applyNumberFormat="1" applyFont="1" applyFill="1" applyBorder="1"/>
    <xf numFmtId="3" fontId="11" fillId="2" borderId="9" xfId="4" applyNumberFormat="1" applyFont="1" applyFill="1" applyBorder="1"/>
    <xf numFmtId="3" fontId="5" fillId="0" borderId="0" xfId="4" applyNumberFormat="1" applyFont="1" applyFill="1" applyBorder="1"/>
    <xf numFmtId="0" fontId="5" fillId="0" borderId="0" xfId="4" applyFont="1" applyBorder="1"/>
    <xf numFmtId="0" fontId="5" fillId="0" borderId="0" xfId="4" applyFont="1"/>
    <xf numFmtId="0" fontId="5" fillId="0" borderId="1" xfId="4" applyFont="1" applyBorder="1"/>
    <xf numFmtId="0" fontId="5" fillId="0" borderId="5" xfId="4" applyFont="1" applyBorder="1"/>
    <xf numFmtId="3" fontId="11" fillId="2" borderId="5" xfId="3" applyNumberFormat="1" applyFont="1" applyFill="1" applyBorder="1"/>
    <xf numFmtId="3" fontId="11" fillId="2" borderId="0" xfId="3" applyNumberFormat="1" applyFont="1" applyFill="1" applyBorder="1"/>
    <xf numFmtId="3" fontId="11" fillId="2" borderId="6" xfId="3" applyNumberFormat="1" applyFont="1" applyFill="1" applyBorder="1"/>
    <xf numFmtId="3" fontId="11" fillId="2" borderId="10" xfId="3" applyNumberFormat="1" applyFont="1" applyFill="1" applyBorder="1"/>
    <xf numFmtId="3" fontId="11" fillId="2" borderId="11" xfId="3" applyNumberFormat="1" applyFont="1" applyFill="1" applyBorder="1"/>
    <xf numFmtId="3" fontId="11" fillId="2" borderId="12" xfId="3" applyNumberFormat="1" applyFont="1" applyFill="1" applyBorder="1"/>
    <xf numFmtId="0" fontId="6" fillId="0" borderId="0" xfId="4" applyFont="1" applyFill="1" applyBorder="1"/>
    <xf numFmtId="3" fontId="5" fillId="0" borderId="0" xfId="4" applyNumberFormat="1" applyFont="1"/>
    <xf numFmtId="0" fontId="6" fillId="0" borderId="0" xfId="4" applyFont="1" applyFill="1" applyBorder="1" applyAlignment="1">
      <alignment horizontal="center"/>
    </xf>
    <xf numFmtId="0" fontId="6" fillId="0" borderId="13" xfId="4" applyFont="1" applyFill="1" applyBorder="1" applyAlignment="1">
      <alignment horizontal="center"/>
    </xf>
    <xf numFmtId="0" fontId="6" fillId="0" borderId="14" xfId="4" applyFont="1" applyFill="1" applyBorder="1" applyAlignment="1">
      <alignment horizontal="center"/>
    </xf>
    <xf numFmtId="3" fontId="11" fillId="0" borderId="5" xfId="3" applyNumberFormat="1" applyFont="1" applyFill="1" applyBorder="1"/>
    <xf numFmtId="3" fontId="11" fillId="0" borderId="0" xfId="3" applyNumberFormat="1" applyFont="1" applyFill="1" applyBorder="1"/>
    <xf numFmtId="3" fontId="11" fillId="0" borderId="6" xfId="3" applyNumberFormat="1" applyFont="1" applyFill="1" applyBorder="1"/>
    <xf numFmtId="0" fontId="13" fillId="0" borderId="1" xfId="4" applyFont="1" applyBorder="1"/>
    <xf numFmtId="0" fontId="5" fillId="0" borderId="15" xfId="4" applyFont="1" applyBorder="1"/>
    <xf numFmtId="0" fontId="5" fillId="0" borderId="16" xfId="4" applyFont="1" applyBorder="1"/>
    <xf numFmtId="0" fontId="7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left"/>
    </xf>
    <xf numFmtId="0" fontId="12" fillId="0" borderId="1" xfId="4" applyFont="1" applyFill="1" applyBorder="1"/>
    <xf numFmtId="176" fontId="6" fillId="0" borderId="0" xfId="6" applyNumberFormat="1" applyFont="1" applyFill="1" applyBorder="1" applyAlignment="1">
      <alignment horizontal="center"/>
    </xf>
    <xf numFmtId="165" fontId="5" fillId="0" borderId="0" xfId="6" applyNumberFormat="1" applyFont="1" applyFill="1" applyBorder="1"/>
    <xf numFmtId="0" fontId="6" fillId="0" borderId="15" xfId="4" quotePrefix="1" applyFont="1" applyFill="1" applyBorder="1" applyAlignment="1">
      <alignment horizontal="right"/>
    </xf>
    <xf numFmtId="0" fontId="6" fillId="0" borderId="17" xfId="4" quotePrefix="1" applyFont="1" applyFill="1" applyBorder="1" applyAlignment="1">
      <alignment horizontal="right"/>
    </xf>
    <xf numFmtId="0" fontId="6" fillId="0" borderId="16" xfId="4" quotePrefix="1" applyFont="1" applyFill="1" applyBorder="1" applyAlignment="1">
      <alignment horizontal="right"/>
    </xf>
    <xf numFmtId="0" fontId="5" fillId="0" borderId="15" xfId="4" applyFont="1" applyFill="1" applyBorder="1" applyAlignment="1">
      <alignment horizontal="center"/>
    </xf>
    <xf numFmtId="0" fontId="5" fillId="0" borderId="17" xfId="4" applyFont="1" applyFill="1" applyBorder="1" applyAlignment="1">
      <alignment horizontal="center"/>
    </xf>
    <xf numFmtId="0" fontId="5" fillId="0" borderId="16" xfId="4" applyFont="1" applyFill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5" fillId="0" borderId="11" xfId="4" applyFont="1" applyBorder="1" applyAlignment="1">
      <alignment horizontal="center"/>
    </xf>
    <xf numFmtId="10" fontId="6" fillId="0" borderId="0" xfId="6" applyNumberFormat="1" applyFont="1" applyFill="1" applyAlignment="1">
      <alignment horizontal="center"/>
    </xf>
    <xf numFmtId="0" fontId="12" fillId="0" borderId="0" xfId="4" applyFont="1" applyFill="1" applyBorder="1"/>
    <xf numFmtId="0" fontId="6" fillId="0" borderId="0" xfId="4" quotePrefix="1" applyFont="1" applyFill="1" applyBorder="1" applyAlignment="1">
      <alignment horizontal="right"/>
    </xf>
    <xf numFmtId="0" fontId="5" fillId="0" borderId="0" xfId="0" applyFont="1"/>
    <xf numFmtId="0" fontId="13" fillId="0" borderId="1" xfId="4" applyFont="1" applyBorder="1" applyAlignment="1">
      <alignment horizontal="left"/>
    </xf>
    <xf numFmtId="0" fontId="12" fillId="0" borderId="0" xfId="0" applyFont="1"/>
    <xf numFmtId="0" fontId="12" fillId="0" borderId="0" xfId="1" applyFont="1" applyFill="1"/>
    <xf numFmtId="174" fontId="5" fillId="0" borderId="0" xfId="4" applyNumberFormat="1" applyFont="1" applyFill="1" applyBorder="1" applyAlignment="1">
      <alignment horizontal="center"/>
    </xf>
    <xf numFmtId="0" fontId="5" fillId="3" borderId="10" xfId="4" applyFont="1" applyFill="1" applyBorder="1" applyAlignment="1">
      <alignment horizontal="center"/>
    </xf>
    <xf numFmtId="0" fontId="5" fillId="3" borderId="11" xfId="4" applyFont="1" applyFill="1" applyBorder="1" applyAlignment="1">
      <alignment horizontal="center"/>
    </xf>
    <xf numFmtId="0" fontId="5" fillId="3" borderId="12" xfId="4" applyFont="1" applyFill="1" applyBorder="1" applyAlignment="1">
      <alignment horizontal="center"/>
    </xf>
    <xf numFmtId="0" fontId="5" fillId="3" borderId="15" xfId="4" applyFont="1" applyFill="1" applyBorder="1" applyAlignment="1">
      <alignment horizontal="center"/>
    </xf>
    <xf numFmtId="0" fontId="5" fillId="3" borderId="17" xfId="4" applyFont="1" applyFill="1" applyBorder="1" applyAlignment="1">
      <alignment horizontal="center"/>
    </xf>
    <xf numFmtId="0" fontId="5" fillId="3" borderId="16" xfId="4" applyFont="1" applyFill="1" applyBorder="1" applyAlignment="1">
      <alignment horizontal="center"/>
    </xf>
    <xf numFmtId="0" fontId="5" fillId="0" borderId="15" xfId="4" applyFont="1" applyFill="1" applyBorder="1"/>
    <xf numFmtId="0" fontId="5" fillId="0" borderId="16" xfId="4" applyFont="1" applyFill="1" applyBorder="1"/>
    <xf numFmtId="0" fontId="5" fillId="0" borderId="18" xfId="4" applyFont="1" applyBorder="1"/>
    <xf numFmtId="0" fontId="5" fillId="0" borderId="18" xfId="4" applyFont="1" applyFill="1" applyBorder="1"/>
    <xf numFmtId="0" fontId="13" fillId="4" borderId="0" xfId="4" applyFont="1" applyFill="1" applyBorder="1" applyAlignment="1">
      <alignment horizontal="left"/>
    </xf>
    <xf numFmtId="0" fontId="5" fillId="0" borderId="0" xfId="1" applyFont="1" applyBorder="1"/>
    <xf numFmtId="0" fontId="13" fillId="0" borderId="0" xfId="1" applyFont="1"/>
    <xf numFmtId="3" fontId="11" fillId="2" borderId="6" xfId="1" applyNumberFormat="1" applyFont="1" applyFill="1" applyBorder="1"/>
    <xf numFmtId="3" fontId="5" fillId="0" borderId="8" xfId="1" applyNumberFormat="1" applyFont="1" applyBorder="1"/>
    <xf numFmtId="0" fontId="6" fillId="0" borderId="3" xfId="1" applyFont="1" applyBorder="1" applyAlignment="1">
      <alignment horizontal="right"/>
    </xf>
    <xf numFmtId="0" fontId="5" fillId="0" borderId="1" xfId="1" applyFont="1" applyFill="1" applyBorder="1" applyAlignment="1">
      <alignment wrapText="1"/>
    </xf>
    <xf numFmtId="3" fontId="11" fillId="2" borderId="5" xfId="1" applyNumberFormat="1" applyFont="1" applyFill="1" applyBorder="1"/>
    <xf numFmtId="3" fontId="11" fillId="2" borderId="10" xfId="1" applyNumberFormat="1" applyFont="1" applyFill="1" applyBorder="1"/>
    <xf numFmtId="3" fontId="11" fillId="2" borderId="12" xfId="1" applyNumberFormat="1" applyFont="1" applyFill="1" applyBorder="1"/>
    <xf numFmtId="3" fontId="5" fillId="0" borderId="0" xfId="1" applyNumberFormat="1" applyFont="1" applyBorder="1"/>
    <xf numFmtId="3" fontId="5" fillId="0" borderId="0" xfId="1" applyNumberFormat="1" applyFont="1" applyFill="1" applyBorder="1"/>
    <xf numFmtId="0" fontId="5" fillId="0" borderId="0" xfId="1" applyFont="1"/>
    <xf numFmtId="0" fontId="5" fillId="0" borderId="0" xfId="1" applyFont="1" applyFill="1"/>
    <xf numFmtId="0" fontId="12" fillId="0" borderId="0" xfId="1" applyFont="1" applyFill="1" applyBorder="1" applyAlignment="1">
      <alignment wrapText="1"/>
    </xf>
    <xf numFmtId="3" fontId="5" fillId="0" borderId="0" xfId="1" applyNumberFormat="1" applyFont="1"/>
    <xf numFmtId="0" fontId="5" fillId="0" borderId="0" xfId="1" applyFont="1" applyFill="1" applyBorder="1" applyAlignment="1">
      <alignment wrapText="1"/>
    </xf>
    <xf numFmtId="0" fontId="12" fillId="0" borderId="0" xfId="1" applyFont="1" applyProtection="1"/>
    <xf numFmtId="0" fontId="15" fillId="0" borderId="0" xfId="1" applyFont="1"/>
    <xf numFmtId="0" fontId="5" fillId="0" borderId="0" xfId="1" applyFont="1" applyFill="1" applyBorder="1"/>
    <xf numFmtId="3" fontId="5" fillId="0" borderId="8" xfId="3" applyNumberFormat="1" applyFont="1" applyFill="1" applyBorder="1"/>
    <xf numFmtId="0" fontId="6" fillId="0" borderId="0" xfId="1" applyFont="1" applyFill="1" applyBorder="1"/>
    <xf numFmtId="3" fontId="5" fillId="0" borderId="0" xfId="3" applyNumberFormat="1" applyFont="1" applyFill="1" applyBorder="1"/>
    <xf numFmtId="0" fontId="16" fillId="0" borderId="0" xfId="1" applyFont="1" applyFill="1"/>
    <xf numFmtId="0" fontId="13" fillId="0" borderId="0" xfId="4" applyFont="1" applyFill="1" applyBorder="1"/>
    <xf numFmtId="0" fontId="14" fillId="2" borderId="1" xfId="4" applyFont="1" applyFill="1" applyBorder="1"/>
    <xf numFmtId="0" fontId="14" fillId="3" borderId="0" xfId="4" applyFont="1" applyFill="1"/>
    <xf numFmtId="0" fontId="6" fillId="0" borderId="19" xfId="4" applyFont="1" applyFill="1" applyBorder="1" applyAlignment="1">
      <alignment horizontal="center"/>
    </xf>
    <xf numFmtId="17" fontId="5" fillId="0" borderId="0" xfId="1" applyNumberFormat="1" applyFont="1" applyFill="1" applyBorder="1"/>
    <xf numFmtId="0" fontId="6" fillId="0" borderId="0" xfId="1" applyFont="1"/>
    <xf numFmtId="10" fontId="5" fillId="0" borderId="0" xfId="4" applyNumberFormat="1" applyFont="1" applyFill="1" applyAlignment="1">
      <alignment horizontal="center"/>
    </xf>
    <xf numFmtId="2" fontId="5" fillId="0" borderId="0" xfId="4" applyNumberFormat="1" applyFont="1" applyFill="1" applyAlignment="1">
      <alignment horizontal="center"/>
    </xf>
    <xf numFmtId="9" fontId="5" fillId="0" borderId="0" xfId="4" applyNumberFormat="1" applyFont="1" applyFill="1" applyAlignment="1">
      <alignment horizontal="center"/>
    </xf>
    <xf numFmtId="10" fontId="5" fillId="0" borderId="0" xfId="6" applyNumberFormat="1" applyFont="1" applyFill="1" applyAlignment="1">
      <alignment horizontal="center"/>
    </xf>
    <xf numFmtId="171" fontId="5" fillId="0" borderId="13" xfId="4" applyNumberFormat="1" applyFont="1" applyFill="1" applyBorder="1" applyAlignment="1">
      <alignment horizontal="center"/>
    </xf>
    <xf numFmtId="171" fontId="5" fillId="0" borderId="14" xfId="4" applyNumberFormat="1" applyFont="1" applyFill="1" applyBorder="1" applyAlignment="1">
      <alignment horizontal="center"/>
    </xf>
    <xf numFmtId="3" fontId="5" fillId="0" borderId="0" xfId="1" applyNumberFormat="1" applyFont="1" applyFill="1"/>
    <xf numFmtId="3" fontId="5" fillId="0" borderId="3" xfId="1" applyNumberFormat="1" applyFont="1" applyBorder="1"/>
    <xf numFmtId="0" fontId="5" fillId="0" borderId="0" xfId="4" applyFont="1" applyFill="1" applyBorder="1" applyAlignment="1">
      <alignment horizontal="center"/>
    </xf>
    <xf numFmtId="171" fontId="11" fillId="3" borderId="13" xfId="4" applyNumberFormat="1" applyFont="1" applyFill="1" applyBorder="1" applyAlignment="1">
      <alignment horizontal="center"/>
    </xf>
    <xf numFmtId="171" fontId="11" fillId="3" borderId="14" xfId="4" applyNumberFormat="1" applyFont="1" applyFill="1" applyBorder="1" applyAlignment="1">
      <alignment horizontal="center"/>
    </xf>
    <xf numFmtId="10" fontId="11" fillId="3" borderId="0" xfId="6" applyNumberFormat="1" applyFont="1" applyFill="1" applyBorder="1" applyAlignment="1">
      <alignment horizontal="center"/>
    </xf>
    <xf numFmtId="0" fontId="11" fillId="3" borderId="0" xfId="4" applyFont="1" applyFill="1" applyAlignment="1">
      <alignment horizontal="center"/>
    </xf>
    <xf numFmtId="10" fontId="5" fillId="0" borderId="0" xfId="4" applyNumberFormat="1" applyFont="1" applyFill="1" applyBorder="1" applyAlignment="1">
      <alignment horizontal="center"/>
    </xf>
    <xf numFmtId="10" fontId="5" fillId="0" borderId="13" xfId="1" applyNumberFormat="1" applyFont="1" applyFill="1" applyBorder="1" applyAlignment="1">
      <alignment horizontal="center"/>
    </xf>
    <xf numFmtId="10" fontId="5" fillId="0" borderId="19" xfId="1" applyNumberFormat="1" applyFont="1" applyFill="1" applyBorder="1" applyAlignment="1">
      <alignment horizontal="center"/>
    </xf>
    <xf numFmtId="10" fontId="5" fillId="0" borderId="14" xfId="1" applyNumberFormat="1" applyFont="1" applyFill="1" applyBorder="1" applyAlignment="1">
      <alignment horizontal="center"/>
    </xf>
    <xf numFmtId="3" fontId="11" fillId="0" borderId="0" xfId="4" applyNumberFormat="1" applyFont="1" applyFill="1" applyBorder="1"/>
    <xf numFmtId="0" fontId="15" fillId="0" borderId="0" xfId="0" applyFont="1" applyFill="1" applyBorder="1" applyAlignment="1">
      <alignment horizontal="center"/>
    </xf>
    <xf numFmtId="173" fontId="11" fillId="0" borderId="0" xfId="3" applyNumberFormat="1" applyFont="1" applyFill="1" applyBorder="1"/>
    <xf numFmtId="3" fontId="5" fillId="0" borderId="0" xfId="4" applyNumberFormat="1" applyFont="1" applyFill="1"/>
    <xf numFmtId="0" fontId="15" fillId="0" borderId="6" xfId="0" applyFont="1" applyBorder="1" applyAlignment="1">
      <alignment horizontal="center"/>
    </xf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 applyProtection="1"/>
    <xf numFmtId="0" fontId="22" fillId="0" borderId="0" xfId="0" applyFont="1"/>
    <xf numFmtId="1" fontId="21" fillId="0" borderId="0" xfId="0" applyNumberFormat="1" applyFont="1" applyProtection="1"/>
    <xf numFmtId="0" fontId="21" fillId="0" borderId="0" xfId="0" applyFont="1" applyBorder="1"/>
    <xf numFmtId="3" fontId="20" fillId="0" borderId="0" xfId="0" applyNumberFormat="1" applyFont="1"/>
    <xf numFmtId="1" fontId="22" fillId="0" borderId="0" xfId="0" applyNumberFormat="1" applyFont="1" applyBorder="1" applyAlignment="1" applyProtection="1">
      <alignment horizontal="left"/>
    </xf>
    <xf numFmtId="0" fontId="21" fillId="0" borderId="0" xfId="0" applyFont="1"/>
    <xf numFmtId="0" fontId="21" fillId="0" borderId="3" xfId="0" applyFont="1" applyBorder="1"/>
    <xf numFmtId="164" fontId="20" fillId="0" borderId="15" xfId="2" applyNumberFormat="1" applyFont="1" applyBorder="1"/>
    <xf numFmtId="164" fontId="20" fillId="0" borderId="17" xfId="2" applyNumberFormat="1" applyFont="1" applyBorder="1"/>
    <xf numFmtId="164" fontId="20" fillId="0" borderId="16" xfId="2" applyNumberFormat="1" applyFont="1" applyBorder="1"/>
    <xf numFmtId="164" fontId="20" fillId="0" borderId="5" xfId="0" applyNumberFormat="1" applyFont="1" applyBorder="1"/>
    <xf numFmtId="164" fontId="20" fillId="0" borderId="0" xfId="0" applyNumberFormat="1" applyFont="1" applyBorder="1"/>
    <xf numFmtId="164" fontId="20" fillId="0" borderId="6" xfId="0" applyNumberFormat="1" applyFont="1" applyBorder="1"/>
    <xf numFmtId="164" fontId="20" fillId="0" borderId="10" xfId="0" applyNumberFormat="1" applyFont="1" applyBorder="1"/>
    <xf numFmtId="164" fontId="20" fillId="0" borderId="11" xfId="0" applyNumberFormat="1" applyFont="1" applyBorder="1"/>
    <xf numFmtId="164" fontId="20" fillId="0" borderId="12" xfId="0" applyNumberFormat="1" applyFont="1" applyBorder="1"/>
    <xf numFmtId="164" fontId="21" fillId="0" borderId="8" xfId="0" applyNumberFormat="1" applyFont="1" applyBorder="1"/>
    <xf numFmtId="164" fontId="20" fillId="0" borderId="0" xfId="0" applyNumberFormat="1" applyFont="1"/>
    <xf numFmtId="164" fontId="21" fillId="0" borderId="0" xfId="2" applyNumberFormat="1" applyFont="1" applyBorder="1"/>
    <xf numFmtId="164" fontId="21" fillId="0" borderId="20" xfId="0" applyNumberFormat="1" applyFont="1" applyBorder="1"/>
    <xf numFmtId="164" fontId="20" fillId="0" borderId="0" xfId="6" applyNumberFormat="1" applyFont="1" applyFill="1"/>
    <xf numFmtId="166" fontId="21" fillId="0" borderId="0" xfId="2" applyNumberFormat="1" applyFont="1"/>
    <xf numFmtId="164" fontId="20" fillId="0" borderId="0" xfId="2" applyNumberFormat="1" applyFont="1"/>
    <xf numFmtId="0" fontId="23" fillId="0" borderId="0" xfId="0" applyFont="1" applyFill="1" applyAlignment="1">
      <alignment horizontal="left"/>
    </xf>
    <xf numFmtId="0" fontId="20" fillId="0" borderId="0" xfId="0" applyFont="1" applyFill="1"/>
    <xf numFmtId="164" fontId="24" fillId="0" borderId="0" xfId="0" applyNumberFormat="1" applyFont="1" applyFill="1" applyBorder="1" applyAlignment="1">
      <alignment horizontal="center"/>
    </xf>
    <xf numFmtId="165" fontId="23" fillId="0" borderId="0" xfId="6" applyNumberFormat="1" applyFont="1" applyFill="1" applyBorder="1"/>
    <xf numFmtId="0" fontId="20" fillId="0" borderId="0" xfId="0" applyFont="1" applyBorder="1"/>
    <xf numFmtId="0" fontId="21" fillId="0" borderId="0" xfId="0" applyFont="1" applyFill="1" applyBorder="1" applyAlignment="1">
      <alignment horizontal="right"/>
    </xf>
    <xf numFmtId="0" fontId="20" fillId="0" borderId="0" xfId="0" applyFont="1" applyFill="1" applyBorder="1"/>
    <xf numFmtId="164" fontId="20" fillId="0" borderId="0" xfId="0" applyNumberFormat="1" applyFont="1" applyFill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165" fontId="21" fillId="0" borderId="0" xfId="6" applyNumberFormat="1" applyFont="1" applyFill="1" applyBorder="1"/>
    <xf numFmtId="0" fontId="22" fillId="0" borderId="0" xfId="0" applyFont="1" applyFill="1"/>
    <xf numFmtId="3" fontId="26" fillId="0" borderId="0" xfId="0" applyNumberFormat="1" applyFont="1" applyFill="1"/>
    <xf numFmtId="167" fontId="20" fillId="0" borderId="15" xfId="0" applyNumberFormat="1" applyFont="1" applyBorder="1"/>
    <xf numFmtId="167" fontId="20" fillId="0" borderId="17" xfId="0" applyNumberFormat="1" applyFont="1" applyBorder="1"/>
    <xf numFmtId="167" fontId="20" fillId="0" borderId="16" xfId="0" applyNumberFormat="1" applyFont="1" applyBorder="1"/>
    <xf numFmtId="167" fontId="20" fillId="0" borderId="5" xfId="0" applyNumberFormat="1" applyFont="1" applyBorder="1"/>
    <xf numFmtId="167" fontId="20" fillId="0" borderId="0" xfId="0" applyNumberFormat="1" applyFont="1" applyBorder="1"/>
    <xf numFmtId="167" fontId="20" fillId="0" borderId="6" xfId="0" applyNumberFormat="1" applyFont="1" applyBorder="1"/>
    <xf numFmtId="167" fontId="24" fillId="0" borderId="0" xfId="2" applyNumberFormat="1" applyFont="1" applyBorder="1"/>
    <xf numFmtId="167" fontId="24" fillId="0" borderId="6" xfId="2" applyNumberFormat="1" applyFont="1" applyBorder="1"/>
    <xf numFmtId="167" fontId="20" fillId="0" borderId="5" xfId="2" applyNumberFormat="1" applyFont="1" applyBorder="1"/>
    <xf numFmtId="167" fontId="20" fillId="0" borderId="0" xfId="2" applyNumberFormat="1" applyFont="1" applyBorder="1"/>
    <xf numFmtId="167" fontId="20" fillId="0" borderId="6" xfId="2" applyNumberFormat="1" applyFont="1" applyBorder="1"/>
    <xf numFmtId="167" fontId="20" fillId="0" borderId="10" xfId="0" applyNumberFormat="1" applyFont="1" applyBorder="1"/>
    <xf numFmtId="167" fontId="20" fillId="0" borderId="11" xfId="0" applyNumberFormat="1" applyFont="1" applyBorder="1"/>
    <xf numFmtId="167" fontId="20" fillId="0" borderId="12" xfId="0" applyNumberFormat="1" applyFont="1" applyBorder="1"/>
    <xf numFmtId="0" fontId="20" fillId="0" borderId="11" xfId="0" applyFont="1" applyBorder="1"/>
    <xf numFmtId="0" fontId="20" fillId="0" borderId="11" xfId="0" applyFont="1" applyFill="1" applyBorder="1"/>
    <xf numFmtId="0" fontId="22" fillId="0" borderId="0" xfId="0" applyFont="1" applyFill="1" applyAlignment="1">
      <alignment wrapText="1"/>
    </xf>
    <xf numFmtId="1" fontId="21" fillId="0" borderId="0" xfId="0" applyNumberFormat="1" applyFont="1" applyBorder="1" applyAlignment="1" applyProtection="1">
      <alignment horizontal="left"/>
    </xf>
    <xf numFmtId="1" fontId="21" fillId="0" borderId="3" xfId="0" applyNumberFormat="1" applyFont="1" applyBorder="1" applyAlignment="1" applyProtection="1">
      <alignment horizontal="center"/>
    </xf>
    <xf numFmtId="1" fontId="21" fillId="0" borderId="0" xfId="0" applyNumberFormat="1" applyFont="1" applyBorder="1" applyAlignment="1" applyProtection="1">
      <alignment horizontal="center"/>
    </xf>
    <xf numFmtId="1" fontId="21" fillId="0" borderId="0" xfId="0" applyNumberFormat="1" applyFont="1" applyFill="1" applyBorder="1" applyAlignment="1" applyProtection="1">
      <alignment horizontal="center"/>
    </xf>
    <xf numFmtId="0" fontId="20" fillId="0" borderId="0" xfId="0" applyFont="1" applyProtection="1"/>
    <xf numFmtId="4" fontId="27" fillId="0" borderId="0" xfId="0" applyNumberFormat="1" applyFont="1" applyFill="1" applyBorder="1" applyAlignment="1" applyProtection="1">
      <alignment horizontal="center"/>
    </xf>
    <xf numFmtId="168" fontId="20" fillId="0" borderId="0" xfId="0" applyNumberFormat="1" applyFont="1" applyFill="1" applyBorder="1"/>
    <xf numFmtId="168" fontId="20" fillId="0" borderId="0" xfId="0" applyNumberFormat="1" applyFont="1" applyFill="1"/>
    <xf numFmtId="4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Protection="1"/>
    <xf numFmtId="4" fontId="20" fillId="0" borderId="0" xfId="0" applyNumberFormat="1" applyFont="1" applyBorder="1"/>
    <xf numFmtId="4" fontId="21" fillId="0" borderId="8" xfId="0" applyNumberFormat="1" applyFont="1" applyFill="1" applyBorder="1" applyAlignment="1" applyProtection="1">
      <alignment horizontal="center"/>
    </xf>
    <xf numFmtId="4" fontId="20" fillId="0" borderId="0" xfId="0" applyNumberFormat="1" applyFont="1" applyBorder="1" applyAlignment="1" applyProtection="1">
      <alignment horizontal="center"/>
    </xf>
    <xf numFmtId="0" fontId="28" fillId="0" borderId="0" xfId="0" applyFont="1" applyFill="1" applyBorder="1" applyProtection="1"/>
    <xf numFmtId="0" fontId="28" fillId="0" borderId="0" xfId="0" applyFont="1" applyFill="1" applyBorder="1"/>
    <xf numFmtId="4" fontId="28" fillId="0" borderId="0" xfId="0" applyNumberFormat="1" applyFont="1" applyFill="1" applyBorder="1" applyAlignment="1" applyProtection="1">
      <alignment horizontal="center"/>
    </xf>
    <xf numFmtId="4" fontId="20" fillId="0" borderId="11" xfId="0" applyNumberFormat="1" applyFont="1" applyFill="1" applyBorder="1" applyAlignment="1" applyProtection="1">
      <alignment horizontal="center"/>
    </xf>
    <xf numFmtId="0" fontId="21" fillId="0" borderId="0" xfId="0" applyFont="1" applyFill="1"/>
    <xf numFmtId="0" fontId="21" fillId="0" borderId="17" xfId="5" applyFont="1" applyFill="1" applyBorder="1" applyAlignment="1">
      <alignment horizontal="right"/>
    </xf>
    <xf numFmtId="0" fontId="21" fillId="0" borderId="3" xfId="5" applyFont="1" applyFill="1" applyBorder="1" applyAlignment="1">
      <alignment horizontal="right"/>
    </xf>
    <xf numFmtId="0" fontId="21" fillId="0" borderId="0" xfId="5" applyFont="1" applyFill="1" applyBorder="1" applyAlignment="1">
      <alignment horizontal="right"/>
    </xf>
    <xf numFmtId="10" fontId="20" fillId="0" borderId="0" xfId="0" applyNumberFormat="1" applyFont="1" applyFill="1" applyBorder="1"/>
    <xf numFmtId="9" fontId="20" fillId="0" borderId="0" xfId="0" applyNumberFormat="1" applyFont="1" applyFill="1" applyBorder="1"/>
    <xf numFmtId="9" fontId="20" fillId="0" borderId="0" xfId="6" applyFont="1" applyFill="1" applyBorder="1"/>
    <xf numFmtId="169" fontId="20" fillId="0" borderId="0" xfId="0" applyNumberFormat="1" applyFont="1" applyFill="1" applyBorder="1"/>
    <xf numFmtId="169" fontId="20" fillId="0" borderId="0" xfId="2" applyNumberFormat="1" applyFont="1" applyFill="1" applyBorder="1"/>
    <xf numFmtId="43" fontId="20" fillId="0" borderId="11" xfId="2" applyFont="1" applyFill="1" applyBorder="1"/>
    <xf numFmtId="43" fontId="20" fillId="0" borderId="0" xfId="2" applyFont="1" applyFill="1" applyBorder="1"/>
    <xf numFmtId="43" fontId="20" fillId="0" borderId="0" xfId="2" applyFont="1" applyFill="1"/>
    <xf numFmtId="10" fontId="20" fillId="0" borderId="19" xfId="6" applyNumberFormat="1" applyFont="1" applyFill="1" applyBorder="1"/>
    <xf numFmtId="169" fontId="20" fillId="0" borderId="17" xfId="2" applyNumberFormat="1" applyFont="1" applyFill="1" applyBorder="1"/>
    <xf numFmtId="169" fontId="20" fillId="0" borderId="11" xfId="2" applyNumberFormat="1" applyFont="1" applyFill="1" applyBorder="1"/>
    <xf numFmtId="169" fontId="21" fillId="0" borderId="3" xfId="2" applyNumberFormat="1" applyFont="1" applyFill="1" applyBorder="1"/>
    <xf numFmtId="169" fontId="21" fillId="0" borderId="0" xfId="2" applyNumberFormat="1" applyFont="1" applyFill="1" applyBorder="1"/>
    <xf numFmtId="165" fontId="21" fillId="0" borderId="3" xfId="6" applyNumberFormat="1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center"/>
    </xf>
    <xf numFmtId="3" fontId="20" fillId="0" borderId="0" xfId="0" applyNumberFormat="1" applyFont="1" applyFill="1"/>
    <xf numFmtId="3" fontId="20" fillId="0" borderId="0" xfId="0" applyNumberFormat="1" applyFont="1" applyFill="1" applyBorder="1" applyAlignment="1">
      <alignment horizontal="center"/>
    </xf>
    <xf numFmtId="3" fontId="20" fillId="0" borderId="0" xfId="0" applyNumberFormat="1" applyFont="1" applyFill="1" applyBorder="1"/>
    <xf numFmtId="3" fontId="28" fillId="0" borderId="0" xfId="0" applyNumberFormat="1" applyFont="1" applyFill="1" applyBorder="1"/>
    <xf numFmtId="0" fontId="29" fillId="0" borderId="0" xfId="0" applyFont="1"/>
    <xf numFmtId="3" fontId="20" fillId="0" borderId="3" xfId="0" applyNumberFormat="1" applyFont="1" applyFill="1" applyBorder="1"/>
    <xf numFmtId="3" fontId="26" fillId="0" borderId="0" xfId="0" applyNumberFormat="1" applyFont="1" applyFill="1" applyBorder="1"/>
    <xf numFmtId="0" fontId="22" fillId="0" borderId="0" xfId="0" applyFont="1" applyBorder="1"/>
    <xf numFmtId="3" fontId="23" fillId="0" borderId="0" xfId="0" applyNumberFormat="1" applyFont="1" applyFill="1" applyBorder="1"/>
    <xf numFmtId="9" fontId="20" fillId="0" borderId="0" xfId="6" applyFont="1"/>
    <xf numFmtId="0" fontId="0" fillId="0" borderId="0" xfId="0" applyFill="1"/>
    <xf numFmtId="0" fontId="29" fillId="0" borderId="0" xfId="0" applyFont="1" applyBorder="1"/>
    <xf numFmtId="0" fontId="21" fillId="0" borderId="11" xfId="0" applyFont="1" applyBorder="1"/>
    <xf numFmtId="3" fontId="23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3" fontId="20" fillId="0" borderId="0" xfId="0" applyNumberFormat="1" applyFont="1" applyBorder="1"/>
    <xf numFmtId="0" fontId="22" fillId="0" borderId="0" xfId="0" applyFont="1" applyAlignment="1">
      <alignment wrapText="1"/>
    </xf>
    <xf numFmtId="3" fontId="20" fillId="0" borderId="3" xfId="0" applyNumberFormat="1" applyFont="1" applyBorder="1"/>
    <xf numFmtId="0" fontId="28" fillId="0" borderId="0" xfId="0" applyFont="1"/>
    <xf numFmtId="1" fontId="21" fillId="0" borderId="3" xfId="0" applyNumberFormat="1" applyFont="1" applyBorder="1" applyAlignment="1" applyProtection="1">
      <alignment horizontal="right"/>
    </xf>
    <xf numFmtId="1" fontId="21" fillId="0" borderId="0" xfId="0" applyNumberFormat="1" applyFont="1" applyFill="1" applyBorder="1" applyAlignment="1" applyProtection="1">
      <alignment horizontal="right"/>
    </xf>
    <xf numFmtId="170" fontId="20" fillId="0" borderId="0" xfId="0" applyNumberFormat="1" applyFont="1" applyFill="1" applyBorder="1" applyAlignment="1">
      <alignment horizontal="left"/>
    </xf>
    <xf numFmtId="171" fontId="20" fillId="0" borderId="0" xfId="0" applyNumberFormat="1" applyFont="1" applyFill="1" applyBorder="1" applyAlignment="1" applyProtection="1">
      <alignment horizontal="right"/>
    </xf>
    <xf numFmtId="0" fontId="20" fillId="0" borderId="0" xfId="0" applyFont="1" applyFill="1" applyBorder="1" applyProtection="1"/>
    <xf numFmtId="0" fontId="22" fillId="0" borderId="0" xfId="0" applyFont="1" applyFill="1" applyProtection="1"/>
    <xf numFmtId="1" fontId="21" fillId="0" borderId="3" xfId="0" applyNumberFormat="1" applyFont="1" applyFill="1" applyBorder="1" applyAlignment="1" applyProtection="1">
      <alignment horizontal="right"/>
    </xf>
    <xf numFmtId="1" fontId="21" fillId="0" borderId="0" xfId="0" applyNumberFormat="1" applyFont="1" applyFill="1" applyProtection="1"/>
    <xf numFmtId="1" fontId="20" fillId="0" borderId="0" xfId="0" applyNumberFormat="1" applyFont="1" applyFill="1" applyAlignment="1" applyProtection="1">
      <alignment horizontal="center"/>
    </xf>
    <xf numFmtId="3" fontId="20" fillId="0" borderId="0" xfId="0" applyNumberFormat="1" applyFont="1" applyFill="1" applyProtection="1"/>
    <xf numFmtId="2" fontId="20" fillId="0" borderId="0" xfId="0" applyNumberFormat="1" applyFont="1" applyFill="1" applyBorder="1" applyProtection="1"/>
    <xf numFmtId="4" fontId="20" fillId="0" borderId="0" xfId="0" applyNumberFormat="1" applyFont="1" applyFill="1" applyProtection="1"/>
    <xf numFmtId="3" fontId="20" fillId="0" borderId="3" xfId="0" applyNumberFormat="1" applyFont="1" applyFill="1" applyBorder="1" applyProtection="1"/>
    <xf numFmtId="0" fontId="30" fillId="0" borderId="0" xfId="0" applyFont="1" applyAlignment="1">
      <alignment horizontal="center" wrapText="1"/>
    </xf>
    <xf numFmtId="0" fontId="0" fillId="0" borderId="0" xfId="0" applyAlignment="1">
      <alignment wrapText="1"/>
    </xf>
    <xf numFmtId="10" fontId="20" fillId="0" borderId="0" xfId="0" applyNumberFormat="1" applyFont="1" applyFill="1"/>
    <xf numFmtId="0" fontId="31" fillId="0" borderId="0" xfId="0" applyFont="1" applyFill="1"/>
    <xf numFmtId="0" fontId="31" fillId="0" borderId="0" xfId="0" applyFont="1"/>
    <xf numFmtId="9" fontId="20" fillId="0" borderId="0" xfId="6" applyFont="1" applyFill="1"/>
    <xf numFmtId="0" fontId="29" fillId="0" borderId="0" xfId="0" applyFont="1" applyFill="1" applyBorder="1"/>
    <xf numFmtId="4" fontId="20" fillId="0" borderId="0" xfId="0" applyNumberFormat="1" applyFont="1" applyProtection="1"/>
    <xf numFmtId="4" fontId="20" fillId="0" borderId="0" xfId="0" applyNumberFormat="1" applyFont="1" applyFill="1" applyBorder="1" applyProtection="1"/>
    <xf numFmtId="0" fontId="22" fillId="0" borderId="0" xfId="0" applyFont="1" applyFill="1" applyBorder="1"/>
    <xf numFmtId="0" fontId="26" fillId="0" borderId="0" xfId="0" applyFont="1" applyFill="1"/>
    <xf numFmtId="3" fontId="26" fillId="0" borderId="0" xfId="0" applyNumberFormat="1" applyFont="1" applyFill="1" applyAlignment="1">
      <alignment horizontal="center"/>
    </xf>
    <xf numFmtId="3" fontId="28" fillId="0" borderId="0" xfId="0" applyNumberFormat="1" applyFont="1"/>
    <xf numFmtId="0" fontId="13" fillId="0" borderId="0" xfId="0" applyFont="1" applyFill="1"/>
    <xf numFmtId="0" fontId="12" fillId="0" borderId="0" xfId="0" applyFont="1" applyFill="1"/>
    <xf numFmtId="0" fontId="6" fillId="0" borderId="3" xfId="0" applyFont="1" applyFill="1" applyBorder="1"/>
    <xf numFmtId="0" fontId="6" fillId="0" borderId="0" xfId="0" applyFont="1" applyFill="1" applyBorder="1"/>
    <xf numFmtId="0" fontId="6" fillId="0" borderId="0" xfId="0" applyFont="1"/>
    <xf numFmtId="0" fontId="32" fillId="0" borderId="0" xfId="0" applyFont="1" applyFill="1"/>
    <xf numFmtId="0" fontId="13" fillId="0" borderId="0" xfId="0" applyFont="1" applyFill="1" applyBorder="1"/>
    <xf numFmtId="0" fontId="0" fillId="0" borderId="0" xfId="0" applyFill="1" applyBorder="1"/>
    <xf numFmtId="0" fontId="32" fillId="0" borderId="0" xfId="0" applyFont="1" applyFill="1" applyBorder="1"/>
    <xf numFmtId="0" fontId="33" fillId="0" borderId="0" xfId="0" applyFont="1" applyFill="1" applyBorder="1"/>
    <xf numFmtId="3" fontId="0" fillId="0" borderId="0" xfId="0" applyNumberFormat="1" applyFill="1" applyBorder="1"/>
    <xf numFmtId="3" fontId="5" fillId="0" borderId="0" xfId="0" applyNumberFormat="1" applyFont="1" applyFill="1" applyBorder="1"/>
    <xf numFmtId="3" fontId="32" fillId="0" borderId="0" xfId="0" applyNumberFormat="1" applyFont="1" applyFill="1" applyBorder="1"/>
    <xf numFmtId="3" fontId="34" fillId="0" borderId="0" xfId="0" applyNumberFormat="1" applyFont="1" applyFill="1" applyBorder="1"/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1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" fontId="0" fillId="0" borderId="3" xfId="0" applyNumberFormat="1" applyBorder="1"/>
    <xf numFmtId="0" fontId="0" fillId="0" borderId="11" xfId="0" applyBorder="1"/>
    <xf numFmtId="0" fontId="19" fillId="0" borderId="0" xfId="0" applyFont="1" applyBorder="1" applyAlignment="1">
      <alignment horizontal="right"/>
    </xf>
    <xf numFmtId="44" fontId="5" fillId="0" borderId="0" xfId="3" applyFont="1" applyFill="1"/>
    <xf numFmtId="4" fontId="0" fillId="0" borderId="0" xfId="0" applyNumberFormat="1" applyFill="1"/>
    <xf numFmtId="3" fontId="0" fillId="0" borderId="0" xfId="0" applyNumberFormat="1" applyFill="1"/>
    <xf numFmtId="3" fontId="35" fillId="0" borderId="0" xfId="0" applyNumberFormat="1" applyFont="1" applyFill="1" applyBorder="1"/>
    <xf numFmtId="3" fontId="0" fillId="0" borderId="0" xfId="0" applyNumberFormat="1"/>
    <xf numFmtId="3" fontId="10" fillId="0" borderId="0" xfId="0" applyNumberFormat="1" applyFont="1" applyFill="1" applyBorder="1"/>
    <xf numFmtId="44" fontId="5" fillId="0" borderId="0" xfId="3" applyFon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20" fillId="0" borderId="0" xfId="0" applyNumberFormat="1" applyFont="1" applyFill="1" applyBorder="1"/>
    <xf numFmtId="172" fontId="0" fillId="0" borderId="0" xfId="0" applyNumberFormat="1"/>
    <xf numFmtId="172" fontId="0" fillId="0" borderId="3" xfId="0" applyNumberFormat="1" applyBorder="1"/>
    <xf numFmtId="172" fontId="0" fillId="0" borderId="8" xfId="0" applyNumberFormat="1" applyBorder="1"/>
    <xf numFmtId="4" fontId="10" fillId="0" borderId="0" xfId="0" applyNumberFormat="1" applyFont="1"/>
    <xf numFmtId="10" fontId="21" fillId="3" borderId="0" xfId="0" applyNumberFormat="1" applyFont="1" applyFill="1"/>
    <xf numFmtId="10" fontId="20" fillId="3" borderId="17" xfId="0" applyNumberFormat="1" applyFont="1" applyFill="1" applyBorder="1"/>
    <xf numFmtId="9" fontId="20" fillId="3" borderId="0" xfId="0" applyNumberFormat="1" applyFont="1" applyFill="1" applyBorder="1"/>
    <xf numFmtId="10" fontId="20" fillId="3" borderId="13" xfId="0" applyNumberFormat="1" applyFont="1" applyFill="1" applyBorder="1"/>
    <xf numFmtId="10" fontId="20" fillId="3" borderId="19" xfId="0" applyNumberFormat="1" applyFont="1" applyFill="1" applyBorder="1"/>
    <xf numFmtId="43" fontId="20" fillId="3" borderId="14" xfId="0" applyNumberFormat="1" applyFont="1" applyFill="1" applyBorder="1"/>
    <xf numFmtId="10" fontId="20" fillId="3" borderId="14" xfId="0" applyNumberFormat="1" applyFont="1" applyFill="1" applyBorder="1"/>
    <xf numFmtId="0" fontId="6" fillId="0" borderId="0" xfId="1" applyFont="1" applyBorder="1" applyAlignment="1">
      <alignment horizontal="right"/>
    </xf>
    <xf numFmtId="0" fontId="6" fillId="0" borderId="13" xfId="1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10" fontId="11" fillId="3" borderId="19" xfId="1" applyNumberFormat="1" applyFont="1" applyFill="1" applyBorder="1" applyAlignment="1">
      <alignment horizontal="center"/>
    </xf>
    <xf numFmtId="165" fontId="11" fillId="3" borderId="0" xfId="6" applyNumberFormat="1" applyFont="1" applyFill="1" applyBorder="1" applyAlignment="1">
      <alignment horizontal="center"/>
    </xf>
    <xf numFmtId="10" fontId="5" fillId="0" borderId="19" xfId="6" applyNumberFormat="1" applyFont="1" applyBorder="1" applyAlignment="1" applyProtection="1">
      <alignment horizontal="center"/>
    </xf>
    <xf numFmtId="17" fontId="5" fillId="0" borderId="13" xfId="1" applyNumberFormat="1" applyFont="1" applyBorder="1" applyAlignment="1">
      <alignment horizontal="center"/>
    </xf>
    <xf numFmtId="17" fontId="5" fillId="0" borderId="19" xfId="1" applyNumberFormat="1" applyFont="1" applyBorder="1" applyAlignment="1">
      <alignment horizontal="center"/>
    </xf>
    <xf numFmtId="10" fontId="6" fillId="0" borderId="0" xfId="6" applyNumberFormat="1" applyFont="1" applyAlignment="1">
      <alignment horizontal="center"/>
    </xf>
    <xf numFmtId="171" fontId="5" fillId="0" borderId="19" xfId="4" applyNumberFormat="1" applyFont="1" applyFill="1" applyBorder="1" applyAlignment="1">
      <alignment horizontal="center"/>
    </xf>
    <xf numFmtId="171" fontId="11" fillId="3" borderId="19" xfId="4" applyNumberFormat="1" applyFont="1" applyFill="1" applyBorder="1" applyAlignment="1">
      <alignment horizontal="center"/>
    </xf>
    <xf numFmtId="0" fontId="5" fillId="0" borderId="1" xfId="4" applyFont="1" applyFill="1" applyBorder="1"/>
    <xf numFmtId="43" fontId="5" fillId="0" borderId="0" xfId="2" applyFont="1" applyFill="1"/>
    <xf numFmtId="0" fontId="10" fillId="0" borderId="0" xfId="4" applyFont="1" applyFill="1" applyBorder="1"/>
    <xf numFmtId="3" fontId="6" fillId="0" borderId="14" xfId="1" applyNumberFormat="1" applyFont="1" applyBorder="1" applyAlignment="1">
      <alignment horizontal="center"/>
    </xf>
    <xf numFmtId="10" fontId="5" fillId="0" borderId="13" xfId="4" applyNumberFormat="1" applyFont="1" applyFill="1" applyBorder="1" applyAlignment="1">
      <alignment horizontal="center"/>
    </xf>
    <xf numFmtId="10" fontId="5" fillId="0" borderId="19" xfId="6" applyNumberFormat="1" applyFont="1" applyFill="1" applyBorder="1" applyAlignment="1">
      <alignment horizontal="center"/>
    </xf>
    <xf numFmtId="10" fontId="5" fillId="0" borderId="14" xfId="6" applyNumberFormat="1" applyFont="1" applyFill="1" applyBorder="1" applyAlignment="1">
      <alignment horizontal="center"/>
    </xf>
    <xf numFmtId="3" fontId="5" fillId="0" borderId="5" xfId="4" applyNumberFormat="1" applyFont="1" applyFill="1" applyBorder="1"/>
    <xf numFmtId="3" fontId="5" fillId="0" borderId="6" xfId="4" applyNumberFormat="1" applyFont="1" applyFill="1" applyBorder="1"/>
    <xf numFmtId="3" fontId="5" fillId="0" borderId="7" xfId="3" applyNumberFormat="1" applyFont="1" applyFill="1" applyBorder="1"/>
    <xf numFmtId="3" fontId="5" fillId="0" borderId="9" xfId="3" applyNumberFormat="1" applyFont="1" applyFill="1" applyBorder="1"/>
    <xf numFmtId="3" fontId="5" fillId="0" borderId="5" xfId="3" applyNumberFormat="1" applyFont="1" applyFill="1" applyBorder="1"/>
    <xf numFmtId="3" fontId="5" fillId="0" borderId="6" xfId="3" applyNumberFormat="1" applyFont="1" applyFill="1" applyBorder="1"/>
    <xf numFmtId="0" fontId="6" fillId="0" borderId="13" xfId="4" quotePrefix="1" applyFont="1" applyFill="1" applyBorder="1" applyAlignment="1">
      <alignment horizontal="center"/>
    </xf>
    <xf numFmtId="0" fontId="15" fillId="0" borderId="0" xfId="1" applyFont="1" applyBorder="1" applyAlignment="1">
      <alignment horizontal="center"/>
    </xf>
    <xf numFmtId="173" fontId="11" fillId="2" borderId="6" xfId="3" applyNumberFormat="1" applyFont="1" applyFill="1" applyBorder="1" applyAlignment="1"/>
    <xf numFmtId="0" fontId="5" fillId="0" borderId="0" xfId="4" applyFont="1" applyBorder="1" applyAlignment="1"/>
    <xf numFmtId="0" fontId="5" fillId="0" borderId="6" xfId="4" applyFont="1" applyBorder="1" applyAlignment="1"/>
    <xf numFmtId="0" fontId="0" fillId="0" borderId="6" xfId="0" applyBorder="1" applyAlignment="1"/>
    <xf numFmtId="173" fontId="11" fillId="2" borderId="12" xfId="3" applyNumberFormat="1" applyFont="1" applyFill="1" applyBorder="1" applyAlignment="1"/>
    <xf numFmtId="173" fontId="5" fillId="0" borderId="0" xfId="3" applyNumberFormat="1" applyFont="1" applyFill="1" applyBorder="1" applyAlignment="1"/>
    <xf numFmtId="0" fontId="5" fillId="0" borderId="0" xfId="1" applyFont="1" applyBorder="1" applyAlignment="1"/>
    <xf numFmtId="0" fontId="15" fillId="0" borderId="5" xfId="0" applyFont="1" applyBorder="1" applyAlignment="1">
      <alignment horizontal="left"/>
    </xf>
    <xf numFmtId="0" fontId="5" fillId="0" borderId="5" xfId="4" applyFont="1" applyBorder="1" applyAlignment="1"/>
    <xf numFmtId="0" fontId="7" fillId="0" borderId="0" xfId="0" applyFont="1"/>
    <xf numFmtId="0" fontId="6" fillId="0" borderId="0" xfId="0" applyFont="1" applyProtection="1"/>
    <xf numFmtId="0" fontId="13" fillId="0" borderId="0" xfId="0" applyFont="1"/>
    <xf numFmtId="1" fontId="6" fillId="0" borderId="0" xfId="0" applyNumberFormat="1" applyFont="1" applyProtection="1"/>
    <xf numFmtId="0" fontId="6" fillId="0" borderId="0" xfId="0" applyFont="1" applyBorder="1"/>
    <xf numFmtId="3" fontId="5" fillId="0" borderId="0" xfId="0" applyNumberFormat="1" applyFont="1"/>
    <xf numFmtId="0" fontId="6" fillId="0" borderId="3" xfId="0" applyFont="1" applyBorder="1"/>
    <xf numFmtId="164" fontId="5" fillId="0" borderId="0" xfId="0" applyNumberFormat="1" applyFont="1" applyBorder="1"/>
    <xf numFmtId="3" fontId="10" fillId="0" borderId="0" xfId="0" applyNumberFormat="1" applyFont="1" applyFill="1"/>
    <xf numFmtId="167" fontId="5" fillId="0" borderId="0" xfId="0" applyNumberFormat="1" applyFont="1" applyBorder="1"/>
    <xf numFmtId="167" fontId="5" fillId="0" borderId="11" xfId="0" applyNumberFormat="1" applyFont="1" applyBorder="1"/>
    <xf numFmtId="0" fontId="5" fillId="0" borderId="11" xfId="0" applyFont="1" applyBorder="1"/>
    <xf numFmtId="0" fontId="5" fillId="0" borderId="11" xfId="0" applyFont="1" applyFill="1" applyBorder="1"/>
    <xf numFmtId="0" fontId="13" fillId="0" borderId="0" xfId="0" applyFont="1" applyFill="1" applyAlignment="1">
      <alignment wrapText="1"/>
    </xf>
    <xf numFmtId="0" fontId="5" fillId="0" borderId="0" xfId="0" applyFont="1" applyBorder="1"/>
    <xf numFmtId="1" fontId="6" fillId="0" borderId="0" xfId="0" applyNumberFormat="1" applyFont="1" applyBorder="1" applyAlignment="1" applyProtection="1">
      <alignment horizontal="left"/>
    </xf>
    <xf numFmtId="1" fontId="6" fillId="0" borderId="0" xfId="0" applyNumberFormat="1" applyFont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0" fontId="5" fillId="0" borderId="0" xfId="0" applyFont="1" applyProtection="1"/>
    <xf numFmtId="4" fontId="38" fillId="0" borderId="0" xfId="0" applyNumberFormat="1" applyFont="1" applyFill="1" applyBorder="1" applyAlignment="1" applyProtection="1">
      <alignment horizontal="center"/>
    </xf>
    <xf numFmtId="168" fontId="5" fillId="0" borderId="0" xfId="0" applyNumberFormat="1" applyFont="1" applyFill="1" applyBorder="1"/>
    <xf numFmtId="168" fontId="5" fillId="0" borderId="0" xfId="0" applyNumberFormat="1" applyFont="1" applyFill="1"/>
    <xf numFmtId="4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Protection="1"/>
    <xf numFmtId="4" fontId="5" fillId="0" borderId="0" xfId="0" applyNumberFormat="1" applyFont="1" applyBorder="1"/>
    <xf numFmtId="4" fontId="5" fillId="0" borderId="0" xfId="0" applyNumberFormat="1" applyFont="1" applyBorder="1" applyAlignment="1" applyProtection="1">
      <alignment horizontal="center"/>
    </xf>
    <xf numFmtId="0" fontId="35" fillId="0" borderId="0" xfId="0" applyFont="1" applyFill="1" applyBorder="1" applyProtection="1"/>
    <xf numFmtId="0" fontId="35" fillId="0" borderId="0" xfId="0" applyFont="1" applyFill="1" applyBorder="1"/>
    <xf numFmtId="4" fontId="35" fillId="0" borderId="0" xfId="0" applyNumberFormat="1" applyFont="1" applyFill="1" applyBorder="1" applyAlignment="1" applyProtection="1">
      <alignment horizontal="center"/>
    </xf>
    <xf numFmtId="4" fontId="5" fillId="0" borderId="11" xfId="0" applyNumberFormat="1" applyFont="1" applyFill="1" applyBorder="1" applyAlignment="1" applyProtection="1">
      <alignment horizontal="center"/>
    </xf>
    <xf numFmtId="0" fontId="6" fillId="0" borderId="3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right"/>
    </xf>
    <xf numFmtId="10" fontId="5" fillId="0" borderId="0" xfId="0" applyNumberFormat="1" applyFont="1" applyFill="1" applyBorder="1"/>
    <xf numFmtId="169" fontId="5" fillId="0" borderId="0" xfId="0" applyNumberFormat="1" applyFont="1" applyFill="1" applyBorder="1"/>
    <xf numFmtId="169" fontId="5" fillId="0" borderId="0" xfId="2" applyNumberFormat="1" applyFont="1" applyFill="1" applyBorder="1"/>
    <xf numFmtId="43" fontId="5" fillId="0" borderId="11" xfId="2" applyFont="1" applyFill="1" applyBorder="1"/>
    <xf numFmtId="43" fontId="5" fillId="0" borderId="0" xfId="2" applyFont="1" applyFill="1" applyBorder="1"/>
    <xf numFmtId="169" fontId="6" fillId="0" borderId="0" xfId="2" applyNumberFormat="1" applyFont="1" applyFill="1" applyBorder="1"/>
    <xf numFmtId="3" fontId="5" fillId="0" borderId="0" xfId="0" applyNumberFormat="1" applyFont="1" applyFill="1"/>
    <xf numFmtId="3" fontId="5" fillId="0" borderId="3" xfId="0" applyNumberFormat="1" applyFont="1" applyFill="1" applyBorder="1"/>
    <xf numFmtId="3" fontId="37" fillId="0" borderId="0" xfId="0" applyNumberFormat="1" applyFont="1" applyFill="1" applyBorder="1"/>
    <xf numFmtId="0" fontId="6" fillId="0" borderId="11" xfId="0" applyFont="1" applyBorder="1"/>
    <xf numFmtId="3" fontId="37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/>
    <xf numFmtId="0" fontId="13" fillId="0" borderId="0" xfId="0" applyFont="1" applyAlignment="1">
      <alignment wrapText="1"/>
    </xf>
    <xf numFmtId="3" fontId="5" fillId="0" borderId="3" xfId="0" applyNumberFormat="1" applyFont="1" applyBorder="1"/>
    <xf numFmtId="0" fontId="35" fillId="0" borderId="0" xfId="0" applyFont="1"/>
    <xf numFmtId="1" fontId="6" fillId="0" borderId="3" xfId="0" applyNumberFormat="1" applyFont="1" applyBorder="1" applyAlignment="1" applyProtection="1">
      <alignment horizontal="right"/>
    </xf>
    <xf numFmtId="1" fontId="6" fillId="0" borderId="0" xfId="0" applyNumberFormat="1" applyFont="1" applyFill="1" applyBorder="1" applyAlignment="1" applyProtection="1">
      <alignment horizontal="right"/>
    </xf>
    <xf numFmtId="170" fontId="5" fillId="0" borderId="0" xfId="0" applyNumberFormat="1" applyFont="1" applyFill="1" applyBorder="1" applyAlignment="1">
      <alignment horizontal="left"/>
    </xf>
    <xf numFmtId="171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0" fontId="13" fillId="0" borderId="0" xfId="0" applyFont="1" applyFill="1" applyProtection="1"/>
    <xf numFmtId="1" fontId="6" fillId="0" borderId="3" xfId="0" applyNumberFormat="1" applyFont="1" applyFill="1" applyBorder="1" applyAlignment="1" applyProtection="1">
      <alignment horizontal="right"/>
    </xf>
    <xf numFmtId="1" fontId="6" fillId="0" borderId="0" xfId="0" applyNumberFormat="1" applyFont="1" applyFill="1" applyProtection="1"/>
    <xf numFmtId="1" fontId="5" fillId="0" borderId="0" xfId="0" applyNumberFormat="1" applyFont="1" applyFill="1" applyAlignment="1" applyProtection="1">
      <alignment horizontal="center"/>
    </xf>
    <xf numFmtId="3" fontId="5" fillId="0" borderId="0" xfId="0" applyNumberFormat="1" applyFont="1" applyFill="1" applyProtection="1"/>
    <xf numFmtId="2" fontId="5" fillId="0" borderId="0" xfId="0" applyNumberFormat="1" applyFont="1" applyFill="1" applyBorder="1" applyProtection="1"/>
    <xf numFmtId="4" fontId="5" fillId="0" borderId="0" xfId="0" applyNumberFormat="1" applyFont="1" applyFill="1" applyProtection="1"/>
    <xf numFmtId="3" fontId="5" fillId="0" borderId="3" xfId="0" applyNumberFormat="1" applyFont="1" applyFill="1" applyBorder="1" applyProtection="1"/>
    <xf numFmtId="0" fontId="5" fillId="0" borderId="0" xfId="0" applyFont="1" applyAlignment="1">
      <alignment wrapText="1"/>
    </xf>
    <xf numFmtId="10" fontId="5" fillId="0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 applyAlignment="1">
      <alignment horizontal="center"/>
    </xf>
    <xf numFmtId="3" fontId="35" fillId="0" borderId="0" xfId="0" applyNumberFormat="1" applyFont="1"/>
    <xf numFmtId="0" fontId="37" fillId="0" borderId="0" xfId="0" applyFont="1" applyBorder="1"/>
    <xf numFmtId="171" fontId="5" fillId="0" borderId="0" xfId="0" applyNumberFormat="1" applyFont="1" applyFill="1" applyAlignment="1" applyProtection="1">
      <alignment horizontal="right"/>
    </xf>
    <xf numFmtId="10" fontId="5" fillId="0" borderId="13" xfId="0" applyNumberFormat="1" applyFont="1" applyFill="1" applyBorder="1"/>
    <xf numFmtId="10" fontId="5" fillId="0" borderId="19" xfId="0" applyNumberFormat="1" applyFont="1" applyFill="1" applyBorder="1"/>
    <xf numFmtId="10" fontId="5" fillId="0" borderId="14" xfId="0" applyNumberFormat="1" applyFont="1" applyFill="1" applyBorder="1"/>
    <xf numFmtId="0" fontId="5" fillId="0" borderId="0" xfId="0" applyFont="1" applyAlignment="1">
      <alignment horizontal="center" wrapText="1"/>
    </xf>
    <xf numFmtId="43" fontId="5" fillId="0" borderId="14" xfId="0" applyNumberFormat="1" applyFont="1" applyFill="1" applyBorder="1"/>
    <xf numFmtId="9" fontId="5" fillId="0" borderId="13" xfId="0" applyNumberFormat="1" applyFont="1" applyFill="1" applyBorder="1"/>
    <xf numFmtId="9" fontId="5" fillId="0" borderId="19" xfId="0" applyNumberFormat="1" applyFont="1" applyFill="1" applyBorder="1"/>
    <xf numFmtId="3" fontId="6" fillId="0" borderId="3" xfId="0" applyNumberFormat="1" applyFont="1" applyFill="1" applyBorder="1"/>
    <xf numFmtId="3" fontId="5" fillId="0" borderId="8" xfId="0" applyNumberFormat="1" applyFont="1" applyFill="1" applyBorder="1"/>
    <xf numFmtId="3" fontId="6" fillId="0" borderId="8" xfId="0" applyNumberFormat="1" applyFont="1" applyFill="1" applyBorder="1"/>
    <xf numFmtId="10" fontId="5" fillId="0" borderId="0" xfId="6" applyNumberFormat="1" applyFont="1"/>
    <xf numFmtId="1" fontId="5" fillId="0" borderId="0" xfId="0" applyNumberFormat="1" applyFont="1" applyProtection="1"/>
    <xf numFmtId="1" fontId="5" fillId="0" borderId="0" xfId="0" quotePrefix="1" applyNumberFormat="1" applyFont="1" applyProtection="1"/>
    <xf numFmtId="0" fontId="5" fillId="0" borderId="0" xfId="0" applyFont="1" applyFill="1" applyAlignment="1">
      <alignment wrapText="1"/>
    </xf>
    <xf numFmtId="10" fontId="5" fillId="0" borderId="0" xfId="6" applyNumberFormat="1" applyFont="1" applyFill="1" applyBorder="1"/>
    <xf numFmtId="4" fontId="5" fillId="0" borderId="0" xfId="0" applyNumberFormat="1" applyFont="1"/>
    <xf numFmtId="4" fontId="11" fillId="0" borderId="0" xfId="0" applyNumberFormat="1" applyFont="1"/>
    <xf numFmtId="10" fontId="5" fillId="0" borderId="0" xfId="6" applyNumberFormat="1" applyFont="1" applyFill="1"/>
    <xf numFmtId="3" fontId="6" fillId="0" borderId="8" xfId="0" applyNumberFormat="1" applyFont="1" applyBorder="1"/>
    <xf numFmtId="1" fontId="6" fillId="0" borderId="8" xfId="0" applyNumberFormat="1" applyFont="1" applyBorder="1" applyProtection="1"/>
    <xf numFmtId="0" fontId="6" fillId="0" borderId="8" xfId="0" applyFont="1" applyBorder="1"/>
    <xf numFmtId="3" fontId="5" fillId="0" borderId="8" xfId="0" applyNumberFormat="1" applyFont="1" applyBorder="1"/>
    <xf numFmtId="0" fontId="13" fillId="0" borderId="0" xfId="1" applyFont="1" applyFill="1"/>
    <xf numFmtId="10" fontId="5" fillId="0" borderId="13" xfId="6" applyNumberFormat="1" applyFont="1" applyFill="1" applyBorder="1" applyProtection="1">
      <protection locked="0"/>
    </xf>
    <xf numFmtId="10" fontId="5" fillId="0" borderId="19" xfId="6" applyNumberFormat="1" applyFont="1" applyFill="1" applyBorder="1" applyProtection="1">
      <protection locked="0"/>
    </xf>
    <xf numFmtId="43" fontId="5" fillId="0" borderId="19" xfId="2" applyFont="1" applyFill="1" applyBorder="1" applyProtection="1">
      <protection locked="0"/>
    </xf>
    <xf numFmtId="9" fontId="5" fillId="0" borderId="19" xfId="6" applyFont="1" applyFill="1" applyBorder="1" applyProtection="1">
      <protection locked="0"/>
    </xf>
    <xf numFmtId="10" fontId="5" fillId="0" borderId="14" xfId="6" applyNumberFormat="1" applyFont="1" applyFill="1" applyBorder="1" applyProtection="1">
      <protection locked="0"/>
    </xf>
    <xf numFmtId="10" fontId="5" fillId="0" borderId="13" xfId="6" applyNumberFormat="1" applyFont="1" applyBorder="1"/>
    <xf numFmtId="10" fontId="5" fillId="0" borderId="19" xfId="6" applyNumberFormat="1" applyFont="1" applyBorder="1" applyProtection="1"/>
    <xf numFmtId="10" fontId="5" fillId="0" borderId="19" xfId="1" applyNumberFormat="1" applyFont="1" applyBorder="1"/>
    <xf numFmtId="10" fontId="5" fillId="0" borderId="14" xfId="6" applyNumberFormat="1" applyFont="1" applyBorder="1"/>
    <xf numFmtId="10" fontId="11" fillId="0" borderId="0" xfId="1" applyNumberFormat="1" applyFont="1" applyFill="1"/>
    <xf numFmtId="10" fontId="35" fillId="0" borderId="0" xfId="1" applyNumberFormat="1" applyFont="1" applyFill="1"/>
    <xf numFmtId="0" fontId="5" fillId="0" borderId="0" xfId="1" quotePrefix="1" applyFont="1" applyFill="1" applyAlignment="1">
      <alignment horizontal="left"/>
    </xf>
    <xf numFmtId="0" fontId="5" fillId="0" borderId="0" xfId="1" quotePrefix="1" applyFont="1" applyFill="1"/>
    <xf numFmtId="176" fontId="5" fillId="0" borderId="0" xfId="6" applyNumberFormat="1" applyFont="1" applyFill="1"/>
    <xf numFmtId="0" fontId="13" fillId="0" borderId="1" xfId="4" applyFont="1" applyFill="1" applyBorder="1"/>
    <xf numFmtId="0" fontId="13" fillId="0" borderId="0" xfId="1" applyFont="1" applyFill="1" applyBorder="1" applyAlignment="1">
      <alignment wrapText="1"/>
    </xf>
    <xf numFmtId="0" fontId="15" fillId="0" borderId="0" xfId="1" applyFont="1" applyFill="1" applyBorder="1" applyAlignment="1">
      <alignment wrapText="1"/>
    </xf>
    <xf numFmtId="0" fontId="9" fillId="0" borderId="0" xfId="4" applyFont="1" applyFill="1" applyBorder="1"/>
    <xf numFmtId="0" fontId="14" fillId="0" borderId="0" xfId="4" applyFont="1" applyFill="1" applyBorder="1"/>
    <xf numFmtId="0" fontId="12" fillId="0" borderId="0" xfId="1" applyFont="1" applyFill="1" applyProtection="1"/>
    <xf numFmtId="0" fontId="15" fillId="0" borderId="0" xfId="1" applyFont="1" applyFill="1"/>
    <xf numFmtId="0" fontId="13" fillId="0" borderId="0" xfId="1" applyFont="1" applyFill="1" applyBorder="1"/>
    <xf numFmtId="0" fontId="5" fillId="0" borderId="18" xfId="1" applyFont="1" applyFill="1" applyBorder="1"/>
    <xf numFmtId="0" fontId="6" fillId="0" borderId="0" xfId="1" applyFont="1" applyFill="1"/>
    <xf numFmtId="0" fontId="10" fillId="0" borderId="0" xfId="1" applyFont="1" applyFill="1" applyBorder="1" applyAlignment="1">
      <alignment wrapText="1"/>
    </xf>
    <xf numFmtId="0" fontId="5" fillId="0" borderId="18" xfId="1" applyFont="1" applyFill="1" applyBorder="1" applyAlignment="1">
      <alignment wrapText="1"/>
    </xf>
    <xf numFmtId="0" fontId="6" fillId="0" borderId="0" xfId="1" applyFont="1" applyBorder="1"/>
    <xf numFmtId="0" fontId="5" fillId="0" borderId="0" xfId="1" applyFont="1" applyProtection="1"/>
    <xf numFmtId="0" fontId="5" fillId="0" borderId="0" xfId="1" applyFont="1" applyBorder="1" applyProtection="1"/>
    <xf numFmtId="165" fontId="5" fillId="0" borderId="0" xfId="6" applyNumberFormat="1" applyFont="1" applyProtection="1"/>
    <xf numFmtId="0" fontId="12" fillId="0" borderId="0" xfId="1" applyFont="1" applyBorder="1"/>
    <xf numFmtId="0" fontId="5" fillId="0" borderId="0" xfId="1" applyFont="1" applyFill="1" applyProtection="1"/>
    <xf numFmtId="166" fontId="5" fillId="0" borderId="0" xfId="1" applyNumberFormat="1" applyFont="1"/>
    <xf numFmtId="181" fontId="5" fillId="0" borderId="0" xfId="1" applyNumberFormat="1" applyFont="1" applyFill="1" applyBorder="1" applyAlignment="1">
      <alignment horizontal="center"/>
    </xf>
    <xf numFmtId="0" fontId="6" fillId="0" borderId="3" xfId="1" applyFont="1" applyBorder="1"/>
    <xf numFmtId="0" fontId="5" fillId="0" borderId="0" xfId="1" applyFont="1" applyAlignment="1">
      <alignment horizontal="right"/>
    </xf>
    <xf numFmtId="171" fontId="5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3" xfId="1" applyNumberFormat="1" applyFont="1" applyBorder="1" applyAlignment="1">
      <alignment horizontal="center"/>
    </xf>
    <xf numFmtId="170" fontId="6" fillId="0" borderId="13" xfId="1" applyNumberFormat="1" applyFont="1" applyFill="1" applyBorder="1" applyAlignment="1">
      <alignment horizontal="center"/>
    </xf>
    <xf numFmtId="170" fontId="6" fillId="0" borderId="14" xfId="1" applyNumberFormat="1" applyFont="1" applyFill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8" xfId="1" applyFont="1" applyBorder="1"/>
    <xf numFmtId="3" fontId="6" fillId="0" borderId="8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3" fontId="6" fillId="0" borderId="8" xfId="1" applyNumberFormat="1" applyFont="1" applyBorder="1" applyAlignment="1">
      <alignment horizontal="right"/>
    </xf>
    <xf numFmtId="3" fontId="5" fillId="5" borderId="0" xfId="1" applyNumberFormat="1" applyFont="1" applyFill="1"/>
    <xf numFmtId="0" fontId="5" fillId="5" borderId="0" xfId="1" applyFont="1" applyFill="1"/>
    <xf numFmtId="3" fontId="5" fillId="5" borderId="0" xfId="1" applyNumberFormat="1" applyFont="1" applyFill="1" applyBorder="1"/>
    <xf numFmtId="3" fontId="11" fillId="0" borderId="0" xfId="1" applyNumberFormat="1" applyFont="1"/>
    <xf numFmtId="0" fontId="12" fillId="6" borderId="0" xfId="1" applyFont="1" applyFill="1" applyBorder="1"/>
    <xf numFmtId="166" fontId="6" fillId="0" borderId="0" xfId="1" applyNumberFormat="1" applyFont="1" applyFill="1" applyBorder="1"/>
    <xf numFmtId="9" fontId="11" fillId="0" borderId="0" xfId="6" applyFont="1" applyFill="1"/>
    <xf numFmtId="10" fontId="5" fillId="0" borderId="13" xfId="1" applyNumberFormat="1" applyFont="1" applyFill="1" applyBorder="1"/>
    <xf numFmtId="10" fontId="5" fillId="0" borderId="19" xfId="1" applyNumberFormat="1" applyFont="1" applyFill="1" applyBorder="1"/>
    <xf numFmtId="10" fontId="5" fillId="0" borderId="14" xfId="1" applyNumberFormat="1" applyFont="1" applyFill="1" applyBorder="1"/>
    <xf numFmtId="0" fontId="5" fillId="0" borderId="0" xfId="1" applyFont="1" applyAlignment="1">
      <alignment horizontal="left"/>
    </xf>
    <xf numFmtId="3" fontId="35" fillId="0" borderId="0" xfId="1" applyNumberFormat="1" applyFont="1" applyBorder="1"/>
    <xf numFmtId="0" fontId="35" fillId="0" borderId="0" xfId="1" applyFont="1" applyFill="1"/>
    <xf numFmtId="182" fontId="35" fillId="0" borderId="0" xfId="1" applyNumberFormat="1" applyFont="1" applyFill="1" applyAlignment="1">
      <alignment horizontal="center"/>
    </xf>
    <xf numFmtId="182" fontId="35" fillId="0" borderId="0" xfId="0" applyNumberFormat="1" applyFont="1" applyFill="1"/>
    <xf numFmtId="0" fontId="10" fillId="7" borderId="2" xfId="1" applyFont="1" applyFill="1" applyBorder="1" applyAlignment="1">
      <alignment horizontal="right"/>
    </xf>
    <xf numFmtId="182" fontId="10" fillId="7" borderId="4" xfId="1" applyNumberFormat="1" applyFont="1" applyFill="1" applyBorder="1" applyAlignment="1">
      <alignment horizontal="center"/>
    </xf>
    <xf numFmtId="1" fontId="6" fillId="0" borderId="0" xfId="0" applyNumberFormat="1" applyFont="1" applyAlignment="1" applyProtection="1">
      <alignment horizontal="center"/>
    </xf>
    <xf numFmtId="1" fontId="5" fillId="0" borderId="0" xfId="0" applyNumberFormat="1" applyFont="1" applyFill="1" applyBorder="1" applyProtection="1"/>
    <xf numFmtId="1" fontId="5" fillId="0" borderId="0" xfId="0" applyNumberFormat="1" applyFont="1" applyBorder="1" applyProtection="1"/>
    <xf numFmtId="1" fontId="12" fillId="0" borderId="0" xfId="0" applyNumberFormat="1" applyFont="1" applyProtection="1"/>
    <xf numFmtId="1" fontId="6" fillId="0" borderId="11" xfId="0" applyNumberFormat="1" applyFont="1" applyBorder="1" applyAlignment="1" applyProtection="1">
      <alignment horizontal="center"/>
    </xf>
    <xf numFmtId="1" fontId="5" fillId="0" borderId="11" xfId="0" applyNumberFormat="1" applyFont="1" applyBorder="1" applyProtection="1"/>
    <xf numFmtId="178" fontId="5" fillId="0" borderId="0" xfId="0" applyNumberFormat="1" applyFont="1" applyFill="1" applyProtection="1"/>
    <xf numFmtId="177" fontId="5" fillId="0" borderId="0" xfId="0" applyNumberFormat="1" applyFont="1" applyFill="1" applyBorder="1" applyProtection="1"/>
    <xf numFmtId="1" fontId="39" fillId="0" borderId="0" xfId="0" applyNumberFormat="1" applyFont="1" applyFill="1" applyBorder="1" applyAlignment="1" applyProtection="1">
      <alignment horizontal="center"/>
    </xf>
    <xf numFmtId="4" fontId="11" fillId="0" borderId="0" xfId="0" applyNumberFormat="1" applyFont="1" applyFill="1" applyBorder="1" applyAlignment="1" applyProtection="1">
      <alignment horizontal="center"/>
    </xf>
    <xf numFmtId="1" fontId="40" fillId="0" borderId="0" xfId="0" applyNumberFormat="1" applyFont="1" applyFill="1" applyBorder="1" applyAlignment="1" applyProtection="1">
      <alignment horizontal="left"/>
    </xf>
    <xf numFmtId="1" fontId="13" fillId="0" borderId="0" xfId="0" applyNumberFormat="1" applyFont="1" applyFill="1" applyProtection="1"/>
    <xf numFmtId="1" fontId="12" fillId="0" borderId="0" xfId="0" applyNumberFormat="1" applyFont="1" applyFill="1" applyProtection="1"/>
    <xf numFmtId="0" fontId="37" fillId="0" borderId="0" xfId="0" applyFont="1" applyFill="1" applyBorder="1"/>
    <xf numFmtId="9" fontId="5" fillId="0" borderId="0" xfId="0" applyNumberFormat="1" applyFont="1" applyBorder="1"/>
    <xf numFmtId="169" fontId="6" fillId="0" borderId="3" xfId="2" applyNumberFormat="1" applyFont="1" applyBorder="1"/>
    <xf numFmtId="10" fontId="5" fillId="0" borderId="0" xfId="6" applyNumberFormat="1" applyFont="1" applyBorder="1"/>
    <xf numFmtId="43" fontId="5" fillId="0" borderId="0" xfId="0" applyNumberFormat="1" applyFont="1" applyBorder="1"/>
    <xf numFmtId="9" fontId="5" fillId="0" borderId="0" xfId="6" applyNumberFormat="1" applyFont="1" applyBorder="1"/>
    <xf numFmtId="0" fontId="15" fillId="0" borderId="0" xfId="0" applyFont="1" applyProtection="1"/>
    <xf numFmtId="3" fontId="5" fillId="0" borderId="0" xfId="0" applyNumberFormat="1" applyFont="1" applyProtection="1"/>
    <xf numFmtId="7" fontId="5" fillId="0" borderId="0" xfId="0" applyNumberFormat="1" applyFont="1" applyProtection="1"/>
    <xf numFmtId="3" fontId="5" fillId="0" borderId="8" xfId="0" applyNumberFormat="1" applyFont="1" applyBorder="1" applyProtection="1"/>
    <xf numFmtId="0" fontId="6" fillId="0" borderId="3" xfId="0" applyFont="1" applyBorder="1" applyProtection="1"/>
    <xf numFmtId="0" fontId="41" fillId="0" borderId="5" xfId="0" applyFont="1" applyBorder="1" applyAlignment="1">
      <alignment horizontal="left"/>
    </xf>
    <xf numFmtId="0" fontId="5" fillId="8" borderId="0" xfId="0" applyFont="1" applyFill="1"/>
    <xf numFmtId="10" fontId="5" fillId="0" borderId="0" xfId="0" applyNumberFormat="1" applyFont="1"/>
    <xf numFmtId="2" fontId="5" fillId="0" borderId="0" xfId="0" applyNumberFormat="1" applyFont="1"/>
    <xf numFmtId="0" fontId="10" fillId="0" borderId="0" xfId="0" applyFont="1"/>
    <xf numFmtId="3" fontId="6" fillId="0" borderId="0" xfId="0" applyNumberFormat="1" applyFont="1"/>
    <xf numFmtId="0" fontId="10" fillId="0" borderId="0" xfId="0" applyFont="1" applyAlignment="1">
      <alignment horizontal="right"/>
    </xf>
    <xf numFmtId="0" fontId="13" fillId="0" borderId="0" xfId="1" applyFont="1" applyAlignment="1">
      <alignment horizontal="center"/>
    </xf>
    <xf numFmtId="183" fontId="5" fillId="0" borderId="0" xfId="1" applyNumberFormat="1" applyFont="1" applyFill="1"/>
    <xf numFmtId="3" fontId="5" fillId="0" borderId="3" xfId="0" applyNumberFormat="1" applyFont="1" applyBorder="1" applyProtection="1"/>
    <xf numFmtId="1" fontId="12" fillId="0" borderId="0" xfId="0" applyNumberFormat="1" applyFont="1" applyBorder="1" applyAlignment="1" applyProtection="1">
      <alignment horizontal="center"/>
    </xf>
    <xf numFmtId="3" fontId="5" fillId="8" borderId="0" xfId="0" applyNumberFormat="1" applyFont="1" applyFill="1"/>
    <xf numFmtId="0" fontId="5" fillId="8" borderId="8" xfId="0" applyFont="1" applyFill="1" applyBorder="1"/>
    <xf numFmtId="3" fontId="5" fillId="8" borderId="8" xfId="0" applyNumberFormat="1" applyFont="1" applyFill="1" applyBorder="1"/>
    <xf numFmtId="0" fontId="5" fillId="0" borderId="18" xfId="0" applyFont="1" applyBorder="1"/>
    <xf numFmtId="3" fontId="5" fillId="0" borderId="18" xfId="0" applyNumberFormat="1" applyFont="1" applyFill="1" applyBorder="1"/>
    <xf numFmtId="165" fontId="23" fillId="3" borderId="0" xfId="6" applyNumberFormat="1" applyFont="1" applyFill="1" applyBorder="1" applyAlignment="1">
      <alignment horizontal="center"/>
    </xf>
    <xf numFmtId="3" fontId="24" fillId="3" borderId="0" xfId="0" applyNumberFormat="1" applyFont="1" applyFill="1" applyBorder="1"/>
    <xf numFmtId="171" fontId="24" fillId="3" borderId="0" xfId="0" applyNumberFormat="1" applyFont="1" applyFill="1" applyAlignment="1" applyProtection="1">
      <alignment horizontal="right"/>
    </xf>
    <xf numFmtId="44" fontId="42" fillId="3" borderId="0" xfId="3" applyFont="1" applyFill="1"/>
    <xf numFmtId="0" fontId="42" fillId="0" borderId="0" xfId="0" applyFont="1" applyFill="1"/>
    <xf numFmtId="172" fontId="42" fillId="3" borderId="0" xfId="3" applyNumberFormat="1" applyFont="1" applyFill="1"/>
    <xf numFmtId="3" fontId="11" fillId="3" borderId="0" xfId="0" applyNumberFormat="1" applyFont="1" applyFill="1" applyBorder="1"/>
    <xf numFmtId="3" fontId="11" fillId="0" borderId="0" xfId="0" applyNumberFormat="1" applyFont="1" applyFill="1" applyBorder="1"/>
    <xf numFmtId="44" fontId="42" fillId="3" borderId="0" xfId="0" applyNumberFormat="1" applyFont="1" applyFill="1"/>
    <xf numFmtId="42" fontId="42" fillId="3" borderId="0" xfId="0" applyNumberFormat="1" applyFont="1" applyFill="1"/>
    <xf numFmtId="0" fontId="42" fillId="0" borderId="0" xfId="0" applyFont="1"/>
    <xf numFmtId="3" fontId="42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/>
    </xf>
    <xf numFmtId="44" fontId="11" fillId="3" borderId="0" xfId="3" applyFont="1" applyFill="1"/>
    <xf numFmtId="0" fontId="24" fillId="0" borderId="0" xfId="0" applyFont="1"/>
    <xf numFmtId="0" fontId="43" fillId="0" borderId="0" xfId="0" applyFont="1"/>
    <xf numFmtId="3" fontId="42" fillId="3" borderId="0" xfId="0" applyNumberFormat="1" applyFont="1" applyFill="1"/>
    <xf numFmtId="10" fontId="5" fillId="0" borderId="0" xfId="0" applyNumberFormat="1" applyFont="1" applyProtection="1"/>
    <xf numFmtId="0" fontId="13" fillId="3" borderId="0" xfId="4" applyFont="1" applyFill="1" applyBorder="1"/>
    <xf numFmtId="0" fontId="10" fillId="6" borderId="0" xfId="1" applyFont="1" applyFill="1"/>
    <xf numFmtId="182" fontId="10" fillId="6" borderId="0" xfId="1" applyNumberFormat="1" applyFont="1" applyFill="1" applyAlignment="1">
      <alignment horizontal="center"/>
    </xf>
    <xf numFmtId="182" fontId="10" fillId="4" borderId="0" xfId="0" applyNumberFormat="1" applyFont="1" applyFill="1" applyAlignment="1">
      <alignment horizontal="center"/>
    </xf>
    <xf numFmtId="0" fontId="6" fillId="6" borderId="0" xfId="1" applyFont="1" applyFill="1"/>
    <xf numFmtId="182" fontId="10" fillId="4" borderId="0" xfId="0" applyNumberFormat="1" applyFont="1" applyFill="1"/>
    <xf numFmtId="0" fontId="10" fillId="4" borderId="0" xfId="0" applyFont="1" applyFill="1" applyProtection="1"/>
    <xf numFmtId="0" fontId="5" fillId="4" borderId="0" xfId="0" applyFont="1" applyFill="1" applyProtection="1"/>
    <xf numFmtId="44" fontId="42" fillId="0" borderId="0" xfId="3" applyFont="1" applyFill="1"/>
    <xf numFmtId="172" fontId="42" fillId="0" borderId="0" xfId="3" applyNumberFormat="1" applyFont="1" applyFill="1"/>
    <xf numFmtId="0" fontId="11" fillId="9" borderId="0" xfId="1" applyFont="1" applyFill="1"/>
    <xf numFmtId="0" fontId="37" fillId="0" borderId="2" xfId="4" applyFont="1" applyBorder="1" applyAlignment="1">
      <alignment horizontal="center"/>
    </xf>
    <xf numFmtId="169" fontId="5" fillId="0" borderId="8" xfId="2" applyNumberFormat="1" applyFont="1" applyBorder="1"/>
    <xf numFmtId="0" fontId="5" fillId="4" borderId="0" xfId="0" applyFont="1" applyFill="1" applyBorder="1" applyProtection="1"/>
    <xf numFmtId="0" fontId="5" fillId="0" borderId="0" xfId="4" applyFont="1" applyAlignment="1"/>
    <xf numFmtId="0" fontId="5" fillId="0" borderId="0" xfId="4" applyFont="1" applyFill="1" applyAlignment="1"/>
    <xf numFmtId="0" fontId="12" fillId="0" borderId="0" xfId="4" applyFont="1" applyAlignment="1"/>
    <xf numFmtId="0" fontId="6" fillId="0" borderId="0" xfId="4" applyFont="1" applyFill="1" applyAlignment="1"/>
    <xf numFmtId="0" fontId="11" fillId="2" borderId="21" xfId="4" applyFont="1" applyFill="1" applyBorder="1" applyAlignment="1"/>
    <xf numFmtId="0" fontId="6" fillId="0" borderId="0" xfId="4" applyFont="1" applyAlignment="1"/>
    <xf numFmtId="0" fontId="16" fillId="0" borderId="0" xfId="4" applyFont="1" applyFill="1" applyAlignment="1"/>
    <xf numFmtId="0" fontId="6" fillId="0" borderId="0" xfId="1" applyFont="1" applyAlignment="1"/>
    <xf numFmtId="0" fontId="3" fillId="0" borderId="0" xfId="1" applyAlignment="1"/>
    <xf numFmtId="0" fontId="37" fillId="4" borderId="21" xfId="1" applyFont="1" applyFill="1" applyBorder="1" applyAlignment="1">
      <alignment horizontal="center"/>
    </xf>
    <xf numFmtId="0" fontId="6" fillId="0" borderId="0" xfId="1" applyFont="1" applyBorder="1" applyAlignment="1"/>
    <xf numFmtId="0" fontId="3" fillId="0" borderId="0" xfId="1" applyBorder="1" applyAlignment="1"/>
    <xf numFmtId="0" fontId="37" fillId="0" borderId="0" xfId="1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3" fontId="11" fillId="2" borderId="22" xfId="4" applyNumberFormat="1" applyFont="1" applyFill="1" applyBorder="1"/>
    <xf numFmtId="0" fontId="13" fillId="3" borderId="0" xfId="4" applyFont="1" applyFill="1" applyBorder="1" applyProtection="1"/>
    <xf numFmtId="0" fontId="10" fillId="7" borderId="2" xfId="1" applyFont="1" applyFill="1" applyBorder="1" applyAlignment="1" applyProtection="1">
      <alignment horizontal="right"/>
    </xf>
    <xf numFmtId="182" fontId="10" fillId="7" borderId="4" xfId="1" applyNumberFormat="1" applyFont="1" applyFill="1" applyBorder="1" applyAlignment="1" applyProtection="1">
      <alignment horizontal="center"/>
    </xf>
    <xf numFmtId="0" fontId="6" fillId="0" borderId="0" xfId="1" applyFont="1" applyAlignment="1" applyProtection="1">
      <alignment horizontal="right"/>
    </xf>
    <xf numFmtId="0" fontId="16" fillId="0" borderId="0" xfId="1" applyFont="1" applyFill="1" applyProtection="1"/>
    <xf numFmtId="0" fontId="6" fillId="0" borderId="0" xfId="1" applyFont="1" applyFill="1" applyAlignment="1" applyProtection="1">
      <alignment horizontal="right"/>
    </xf>
    <xf numFmtId="0" fontId="14" fillId="0" borderId="0" xfId="4" applyFont="1" applyFill="1" applyBorder="1" applyProtection="1"/>
    <xf numFmtId="0" fontId="13" fillId="0" borderId="0" xfId="4" applyFont="1" applyFill="1" applyBorder="1" applyProtection="1"/>
    <xf numFmtId="0" fontId="6" fillId="0" borderId="1" xfId="1" applyFont="1" applyBorder="1" applyProtection="1"/>
    <xf numFmtId="0" fontId="6" fillId="0" borderId="0" xfId="1" applyFont="1" applyFill="1" applyBorder="1" applyProtection="1"/>
    <xf numFmtId="0" fontId="6" fillId="0" borderId="13" xfId="4" applyFont="1" applyFill="1" applyBorder="1" applyAlignment="1" applyProtection="1">
      <alignment horizontal="center"/>
    </xf>
    <xf numFmtId="0" fontId="6" fillId="0" borderId="3" xfId="1" applyFont="1" applyBorder="1" applyAlignment="1" applyProtection="1">
      <alignment horizontal="right"/>
    </xf>
    <xf numFmtId="0" fontId="12" fillId="0" borderId="0" xfId="1" applyFont="1" applyFill="1" applyBorder="1" applyAlignment="1" applyProtection="1">
      <alignment wrapText="1"/>
    </xf>
    <xf numFmtId="3" fontId="5" fillId="0" borderId="0" xfId="1" applyNumberFormat="1" applyFont="1" applyProtection="1"/>
    <xf numFmtId="0" fontId="5" fillId="0" borderId="0" xfId="1" applyFont="1" applyFill="1" applyBorder="1" applyAlignment="1" applyProtection="1">
      <alignment wrapText="1"/>
    </xf>
    <xf numFmtId="3" fontId="5" fillId="0" borderId="8" xfId="1" applyNumberFormat="1" applyFont="1" applyBorder="1" applyProtection="1"/>
    <xf numFmtId="0" fontId="5" fillId="0" borderId="0" xfId="1" applyFont="1" applyFill="1" applyBorder="1" applyProtection="1"/>
    <xf numFmtId="0" fontId="13" fillId="0" borderId="0" xfId="1" applyFont="1" applyProtection="1"/>
    <xf numFmtId="0" fontId="13" fillId="0" borderId="0" xfId="1" applyFont="1" applyFill="1" applyProtection="1"/>
    <xf numFmtId="3" fontId="5" fillId="0" borderId="0" xfId="1" applyNumberFormat="1" applyFont="1" applyFill="1" applyBorder="1" applyProtection="1"/>
    <xf numFmtId="0" fontId="12" fillId="0" borderId="1" xfId="4" applyFont="1" applyFill="1" applyBorder="1" applyProtection="1"/>
    <xf numFmtId="0" fontId="12" fillId="0" borderId="0" xfId="4" applyFont="1" applyFill="1" applyBorder="1" applyProtection="1"/>
    <xf numFmtId="0" fontId="15" fillId="0" borderId="0" xfId="1" applyFont="1" applyProtection="1"/>
    <xf numFmtId="0" fontId="15" fillId="0" borderId="0" xfId="1" applyFont="1" applyFill="1" applyProtection="1"/>
    <xf numFmtId="0" fontId="5" fillId="0" borderId="0" xfId="1" applyFont="1" applyAlignment="1" applyProtection="1">
      <alignment horizontal="center"/>
    </xf>
    <xf numFmtId="3" fontId="5" fillId="0" borderId="3" xfId="1" applyNumberFormat="1" applyFont="1" applyFill="1" applyBorder="1" applyProtection="1"/>
    <xf numFmtId="0" fontId="5" fillId="0" borderId="1" xfId="1" applyFont="1" applyBorder="1" applyProtection="1"/>
    <xf numFmtId="0" fontId="13" fillId="0" borderId="1" xfId="1" applyFont="1" applyBorder="1" applyProtection="1"/>
    <xf numFmtId="0" fontId="13" fillId="0" borderId="0" xfId="1" applyFont="1" applyFill="1" applyBorder="1" applyProtection="1"/>
    <xf numFmtId="0" fontId="13" fillId="0" borderId="1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wrapText="1"/>
    </xf>
    <xf numFmtId="0" fontId="15" fillId="0" borderId="1" xfId="1" applyFont="1" applyFill="1" applyBorder="1" applyAlignment="1" applyProtection="1">
      <alignment wrapText="1"/>
    </xf>
    <xf numFmtId="0" fontId="15" fillId="0" borderId="0" xfId="1" applyFont="1" applyFill="1" applyBorder="1" applyAlignment="1" applyProtection="1">
      <alignment wrapText="1"/>
    </xf>
    <xf numFmtId="3" fontId="5" fillId="0" borderId="0" xfId="1" applyNumberFormat="1" applyFont="1" applyBorder="1" applyProtection="1"/>
    <xf numFmtId="0" fontId="5" fillId="0" borderId="1" xfId="1" applyFont="1" applyFill="1" applyBorder="1" applyAlignment="1" applyProtection="1">
      <alignment wrapText="1"/>
    </xf>
    <xf numFmtId="0" fontId="6" fillId="0" borderId="2" xfId="1" quotePrefix="1" applyFont="1" applyFill="1" applyBorder="1" applyAlignment="1" applyProtection="1">
      <alignment horizontal="right"/>
    </xf>
    <xf numFmtId="0" fontId="6" fillId="0" borderId="3" xfId="1" quotePrefix="1" applyFont="1" applyFill="1" applyBorder="1" applyAlignment="1" applyProtection="1">
      <alignment horizontal="right"/>
    </xf>
    <xf numFmtId="0" fontId="6" fillId="0" borderId="4" xfId="1" quotePrefix="1" applyFont="1" applyFill="1" applyBorder="1" applyAlignment="1" applyProtection="1">
      <alignment horizontal="right"/>
    </xf>
    <xf numFmtId="0" fontId="9" fillId="0" borderId="1" xfId="4" applyFont="1" applyFill="1" applyBorder="1" applyProtection="1"/>
    <xf numFmtId="0" fontId="9" fillId="0" borderId="0" xfId="4" applyFont="1" applyFill="1" applyBorder="1" applyProtection="1"/>
    <xf numFmtId="0" fontId="6" fillId="0" borderId="19" xfId="4" applyFont="1" applyFill="1" applyBorder="1" applyAlignment="1" applyProtection="1">
      <alignment horizontal="center"/>
    </xf>
    <xf numFmtId="0" fontId="5" fillId="0" borderId="1" xfId="4" applyFont="1" applyFill="1" applyBorder="1" applyProtection="1"/>
    <xf numFmtId="0" fontId="5" fillId="0" borderId="0" xfId="4" applyFont="1" applyFill="1" applyBorder="1" applyProtection="1"/>
    <xf numFmtId="3" fontId="5" fillId="0" borderId="0" xfId="3" applyNumberFormat="1" applyFont="1" applyFill="1" applyBorder="1" applyProtection="1"/>
    <xf numFmtId="0" fontId="10" fillId="0" borderId="0" xfId="4" applyFont="1" applyFill="1" applyBorder="1" applyProtection="1"/>
    <xf numFmtId="3" fontId="5" fillId="0" borderId="0" xfId="1" applyNumberFormat="1" applyFont="1" applyFill="1" applyProtection="1"/>
    <xf numFmtId="0" fontId="6" fillId="0" borderId="1" xfId="1" applyFont="1" applyFill="1" applyBorder="1" applyProtection="1"/>
    <xf numFmtId="3" fontId="5" fillId="0" borderId="8" xfId="3" applyNumberFormat="1" applyFont="1" applyFill="1" applyBorder="1" applyProtection="1"/>
    <xf numFmtId="0" fontId="5" fillId="0" borderId="18" xfId="1" applyFont="1" applyBorder="1" applyProtection="1"/>
    <xf numFmtId="0" fontId="5" fillId="0" borderId="18" xfId="1" applyFont="1" applyFill="1" applyBorder="1" applyProtection="1"/>
    <xf numFmtId="0" fontId="14" fillId="3" borderId="0" xfId="4" applyFont="1" applyFill="1" applyProtection="1"/>
    <xf numFmtId="0" fontId="14" fillId="0" borderId="0" xfId="4" applyFont="1" applyFill="1" applyProtection="1"/>
    <xf numFmtId="175" fontId="10" fillId="0" borderId="0" xfId="2" applyNumberFormat="1" applyFont="1" applyFill="1" applyProtection="1"/>
    <xf numFmtId="10" fontId="11" fillId="3" borderId="13" xfId="6" applyNumberFormat="1" applyFont="1" applyFill="1" applyBorder="1" applyAlignment="1" applyProtection="1">
      <alignment horizontal="center"/>
    </xf>
    <xf numFmtId="176" fontId="11" fillId="3" borderId="19" xfId="6" applyNumberFormat="1" applyFont="1" applyFill="1" applyBorder="1" applyAlignment="1" applyProtection="1">
      <alignment horizontal="center"/>
    </xf>
    <xf numFmtId="10" fontId="11" fillId="3" borderId="19" xfId="6" applyNumberFormat="1" applyFont="1" applyFill="1" applyBorder="1" applyAlignment="1" applyProtection="1">
      <alignment horizontal="center"/>
    </xf>
    <xf numFmtId="179" fontId="11" fillId="3" borderId="19" xfId="2" applyNumberFormat="1" applyFont="1" applyFill="1" applyBorder="1" applyAlignment="1" applyProtection="1">
      <alignment horizontal="center"/>
    </xf>
    <xf numFmtId="9" fontId="11" fillId="3" borderId="19" xfId="6" applyFont="1" applyFill="1" applyBorder="1" applyAlignment="1" applyProtection="1">
      <alignment horizontal="center"/>
    </xf>
    <xf numFmtId="10" fontId="11" fillId="3" borderId="14" xfId="6" applyNumberFormat="1" applyFont="1" applyFill="1" applyBorder="1" applyAlignment="1" applyProtection="1">
      <alignment horizontal="center"/>
    </xf>
    <xf numFmtId="175" fontId="10" fillId="0" borderId="0" xfId="2" applyNumberFormat="1" applyFont="1" applyAlignment="1" applyProtection="1">
      <alignment horizontal="center"/>
    </xf>
    <xf numFmtId="10" fontId="5" fillId="0" borderId="13" xfId="6" applyNumberFormat="1" applyFont="1" applyBorder="1" applyAlignment="1" applyProtection="1">
      <alignment horizontal="center"/>
    </xf>
    <xf numFmtId="10" fontId="5" fillId="0" borderId="19" xfId="1" applyNumberFormat="1" applyFont="1" applyBorder="1" applyAlignment="1" applyProtection="1">
      <alignment horizontal="center"/>
    </xf>
    <xf numFmtId="10" fontId="5" fillId="0" borderId="14" xfId="6" applyNumberFormat="1" applyFont="1" applyBorder="1" applyAlignment="1" applyProtection="1">
      <alignment horizontal="center"/>
    </xf>
    <xf numFmtId="10" fontId="5" fillId="0" borderId="21" xfId="6" applyNumberFormat="1" applyFont="1" applyBorder="1" applyAlignment="1" applyProtection="1">
      <alignment horizontal="center"/>
    </xf>
    <xf numFmtId="0" fontId="13" fillId="0" borderId="0" xfId="1" applyFont="1" applyAlignment="1" applyProtection="1">
      <alignment horizontal="center"/>
    </xf>
    <xf numFmtId="17" fontId="5" fillId="0" borderId="13" xfId="1" applyNumberFormat="1" applyFont="1" applyBorder="1" applyAlignment="1" applyProtection="1">
      <alignment horizontal="center"/>
    </xf>
    <xf numFmtId="0" fontId="11" fillId="3" borderId="16" xfId="1" applyFont="1" applyFill="1" applyBorder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17" fontId="5" fillId="0" borderId="19" xfId="1" applyNumberFormat="1" applyFont="1" applyBorder="1" applyAlignment="1" applyProtection="1">
      <alignment horizontal="center"/>
    </xf>
    <xf numFmtId="0" fontId="11" fillId="3" borderId="6" xfId="1" applyFont="1" applyFill="1" applyBorder="1" applyAlignment="1" applyProtection="1">
      <alignment horizontal="center"/>
    </xf>
    <xf numFmtId="10" fontId="6" fillId="0" borderId="0" xfId="6" applyNumberFormat="1" applyFont="1" applyAlignment="1" applyProtection="1">
      <alignment horizontal="center"/>
    </xf>
    <xf numFmtId="180" fontId="5" fillId="0" borderId="0" xfId="1" applyNumberFormat="1" applyFont="1" applyProtection="1"/>
    <xf numFmtId="17" fontId="5" fillId="0" borderId="14" xfId="1" applyNumberFormat="1" applyFont="1" applyBorder="1" applyAlignment="1" applyProtection="1">
      <alignment horizontal="center"/>
    </xf>
    <xf numFmtId="0" fontId="11" fillId="3" borderId="12" xfId="1" applyFont="1" applyFill="1" applyBorder="1" applyAlignment="1" applyProtection="1">
      <alignment horizontal="center"/>
    </xf>
    <xf numFmtId="17" fontId="5" fillId="0" borderId="0" xfId="1" applyNumberFormat="1" applyFont="1" applyFill="1" applyBorder="1" applyProtection="1"/>
    <xf numFmtId="0" fontId="13" fillId="0" borderId="0" xfId="1" applyFont="1" applyAlignment="1" applyProtection="1">
      <alignment horizontal="right"/>
    </xf>
    <xf numFmtId="0" fontId="6" fillId="0" borderId="0" xfId="1" applyFont="1" applyProtection="1"/>
    <xf numFmtId="10" fontId="6" fillId="0" borderId="0" xfId="6" applyNumberFormat="1" applyFont="1" applyProtection="1"/>
    <xf numFmtId="166" fontId="10" fillId="0" borderId="0" xfId="2" applyNumberFormat="1" applyFont="1" applyProtection="1"/>
    <xf numFmtId="166" fontId="6" fillId="0" borderId="0" xfId="2" applyNumberFormat="1" applyFont="1" applyProtection="1"/>
    <xf numFmtId="171" fontId="5" fillId="3" borderId="13" xfId="4" applyNumberFormat="1" applyFont="1" applyFill="1" applyBorder="1" applyAlignment="1" applyProtection="1">
      <alignment horizontal="center"/>
    </xf>
    <xf numFmtId="171" fontId="5" fillId="3" borderId="19" xfId="4" applyNumberFormat="1" applyFont="1" applyFill="1" applyBorder="1" applyAlignment="1" applyProtection="1">
      <alignment horizontal="center"/>
    </xf>
    <xf numFmtId="171" fontId="5" fillId="3" borderId="14" xfId="4" applyNumberFormat="1" applyFont="1" applyFill="1" applyBorder="1" applyAlignment="1" applyProtection="1">
      <alignment horizontal="center"/>
    </xf>
    <xf numFmtId="0" fontId="5" fillId="0" borderId="0" xfId="4" applyFont="1" applyProtection="1"/>
    <xf numFmtId="0" fontId="5" fillId="0" borderId="0" xfId="4" applyFont="1" applyFill="1" applyProtection="1"/>
    <xf numFmtId="165" fontId="11" fillId="3" borderId="0" xfId="6" applyNumberFormat="1" applyFont="1" applyFill="1" applyBorder="1" applyAlignment="1" applyProtection="1">
      <alignment horizontal="center"/>
    </xf>
    <xf numFmtId="2" fontId="5" fillId="0" borderId="0" xfId="4" applyNumberFormat="1" applyFont="1" applyFill="1" applyAlignment="1" applyProtection="1">
      <alignment horizontal="center"/>
    </xf>
    <xf numFmtId="9" fontId="5" fillId="0" borderId="0" xfId="4" applyNumberFormat="1" applyFont="1" applyFill="1" applyAlignment="1" applyProtection="1">
      <alignment horizontal="center"/>
    </xf>
    <xf numFmtId="0" fontId="6" fillId="0" borderId="0" xfId="1" applyFont="1" applyFill="1" applyProtection="1"/>
    <xf numFmtId="10" fontId="11" fillId="3" borderId="13" xfId="1" applyNumberFormat="1" applyFont="1" applyFill="1" applyBorder="1" applyAlignment="1" applyProtection="1">
      <alignment horizontal="center"/>
    </xf>
    <xf numFmtId="10" fontId="11" fillId="3" borderId="19" xfId="1" applyNumberFormat="1" applyFont="1" applyFill="1" applyBorder="1" applyAlignment="1" applyProtection="1">
      <alignment horizontal="center"/>
    </xf>
    <xf numFmtId="10" fontId="11" fillId="3" borderId="14" xfId="1" applyNumberFormat="1" applyFont="1" applyFill="1" applyBorder="1" applyAlignment="1" applyProtection="1">
      <alignment horizontal="center"/>
    </xf>
    <xf numFmtId="3" fontId="5" fillId="3" borderId="0" xfId="1" applyNumberFormat="1" applyFont="1" applyFill="1" applyBorder="1" applyProtection="1"/>
    <xf numFmtId="43" fontId="5" fillId="3" borderId="0" xfId="1" applyNumberFormat="1" applyFont="1" applyFill="1" applyProtection="1"/>
    <xf numFmtId="0" fontId="6" fillId="0" borderId="0" xfId="1" applyFont="1" applyBorder="1" applyAlignment="1" applyProtection="1">
      <alignment horizontal="right"/>
    </xf>
    <xf numFmtId="3" fontId="5" fillId="0" borderId="3" xfId="1" applyNumberFormat="1" applyFont="1" applyBorder="1" applyProtection="1"/>
    <xf numFmtId="0" fontId="35" fillId="4" borderId="0" xfId="1" applyFont="1" applyFill="1" applyBorder="1" applyAlignment="1" applyProtection="1">
      <alignment wrapText="1"/>
    </xf>
    <xf numFmtId="0" fontId="10" fillId="4" borderId="0" xfId="1" applyFont="1" applyFill="1" applyBorder="1" applyAlignment="1" applyProtection="1">
      <alignment wrapText="1"/>
    </xf>
    <xf numFmtId="182" fontId="35" fillId="4" borderId="0" xfId="0" applyNumberFormat="1" applyFont="1" applyFill="1" applyAlignment="1" applyProtection="1">
      <alignment horizontal="center"/>
    </xf>
    <xf numFmtId="44" fontId="5" fillId="3" borderId="0" xfId="1" applyNumberFormat="1" applyFont="1" applyFill="1" applyProtection="1"/>
    <xf numFmtId="44" fontId="5" fillId="0" borderId="0" xfId="1" applyNumberFormat="1" applyFont="1" applyFill="1" applyProtection="1"/>
    <xf numFmtId="0" fontId="37" fillId="0" borderId="3" xfId="4" applyFont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171" fontId="11" fillId="3" borderId="19" xfId="1" applyNumberFormat="1" applyFont="1" applyFill="1" applyBorder="1" applyAlignment="1">
      <alignment horizontal="center"/>
    </xf>
    <xf numFmtId="0" fontId="11" fillId="3" borderId="14" xfId="1" applyFont="1" applyFill="1" applyBorder="1" applyAlignment="1">
      <alignment horizontal="center"/>
    </xf>
    <xf numFmtId="0" fontId="5" fillId="0" borderId="15" xfId="4" applyFont="1" applyBorder="1" applyAlignment="1">
      <alignment horizontal="center"/>
    </xf>
    <xf numFmtId="3" fontId="5" fillId="2" borderId="5" xfId="1" applyNumberFormat="1" applyFont="1" applyFill="1" applyBorder="1"/>
    <xf numFmtId="3" fontId="5" fillId="2" borderId="6" xfId="1" applyNumberFormat="1" applyFont="1" applyFill="1" applyBorder="1"/>
    <xf numFmtId="3" fontId="5" fillId="2" borderId="10" xfId="1" applyNumberFormat="1" applyFont="1" applyFill="1" applyBorder="1"/>
    <xf numFmtId="3" fontId="5" fillId="2" borderId="12" xfId="1" applyNumberFormat="1" applyFont="1" applyFill="1" applyBorder="1"/>
    <xf numFmtId="173" fontId="5" fillId="2" borderId="6" xfId="3" applyNumberFormat="1" applyFont="1" applyFill="1" applyBorder="1" applyAlignment="1"/>
    <xf numFmtId="173" fontId="5" fillId="2" borderId="12" xfId="3" applyNumberFormat="1" applyFont="1" applyFill="1" applyBorder="1" applyAlignment="1"/>
    <xf numFmtId="3" fontId="5" fillId="0" borderId="3" xfId="1" applyNumberFormat="1" applyFont="1" applyBorder="1" applyAlignment="1">
      <alignment horizontal="right"/>
    </xf>
    <xf numFmtId="0" fontId="12" fillId="0" borderId="0" xfId="4" applyFont="1" applyFill="1" applyBorder="1" applyAlignment="1">
      <alignment horizontal="center"/>
    </xf>
    <xf numFmtId="0" fontId="12" fillId="0" borderId="1" xfId="4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Border="1" applyAlignment="1"/>
    <xf numFmtId="0" fontId="11" fillId="3" borderId="10" xfId="4" applyFont="1" applyFill="1" applyBorder="1" applyAlignment="1">
      <alignment horizontal="center"/>
    </xf>
    <xf numFmtId="0" fontId="11" fillId="3" borderId="11" xfId="4" applyFont="1" applyFill="1" applyBorder="1" applyAlignment="1">
      <alignment horizontal="center"/>
    </xf>
    <xf numFmtId="17" fontId="5" fillId="0" borderId="5" xfId="1" applyNumberFormat="1" applyFont="1" applyBorder="1" applyAlignment="1">
      <alignment horizontal="center"/>
    </xf>
    <xf numFmtId="0" fontId="11" fillId="3" borderId="19" xfId="1" applyFont="1" applyFill="1" applyBorder="1" applyAlignment="1">
      <alignment horizontal="center"/>
    </xf>
    <xf numFmtId="17" fontId="5" fillId="0" borderId="10" xfId="1" applyNumberFormat="1" applyFont="1" applyBorder="1" applyAlignment="1">
      <alignment horizontal="center"/>
    </xf>
    <xf numFmtId="10" fontId="5" fillId="3" borderId="0" xfId="4" applyNumberFormat="1" applyFont="1" applyFill="1" applyBorder="1" applyAlignment="1">
      <alignment horizontal="center"/>
    </xf>
    <xf numFmtId="10" fontId="11" fillId="3" borderId="0" xfId="4" applyNumberFormat="1" applyFont="1" applyFill="1" applyAlignment="1">
      <alignment horizontal="center"/>
    </xf>
    <xf numFmtId="2" fontId="11" fillId="3" borderId="0" xfId="4" applyNumberFormat="1" applyFont="1" applyFill="1" applyAlignment="1">
      <alignment horizontal="center"/>
    </xf>
    <xf numFmtId="9" fontId="11" fillId="3" borderId="0" xfId="4" applyNumberFormat="1" applyFont="1" applyFill="1" applyAlignment="1">
      <alignment horizontal="center"/>
    </xf>
    <xf numFmtId="10" fontId="11" fillId="3" borderId="0" xfId="6" applyNumberFormat="1" applyFont="1" applyFill="1" applyAlignment="1">
      <alignment horizontal="center"/>
    </xf>
    <xf numFmtId="0" fontId="5" fillId="0" borderId="13" xfId="4" applyFont="1" applyBorder="1" applyAlignment="1">
      <alignment horizontal="center"/>
    </xf>
    <xf numFmtId="0" fontId="5" fillId="0" borderId="14" xfId="4" applyFont="1" applyBorder="1" applyAlignment="1">
      <alignment horizontal="center"/>
    </xf>
    <xf numFmtId="0" fontId="15" fillId="0" borderId="19" xfId="0" applyFont="1" applyBorder="1" applyAlignment="1">
      <alignment horizontal="left"/>
    </xf>
    <xf numFmtId="173" fontId="11" fillId="3" borderId="19" xfId="3" applyNumberFormat="1" applyFont="1" applyFill="1" applyBorder="1" applyAlignment="1"/>
    <xf numFmtId="173" fontId="11" fillId="3" borderId="14" xfId="3" applyNumberFormat="1" applyFont="1" applyFill="1" applyBorder="1" applyAlignment="1"/>
    <xf numFmtId="0" fontId="6" fillId="0" borderId="15" xfId="4" quotePrefix="1" applyFont="1" applyFill="1" applyBorder="1" applyAlignment="1">
      <alignment horizontal="center"/>
    </xf>
    <xf numFmtId="0" fontId="5" fillId="0" borderId="10" xfId="4" applyFont="1" applyBorder="1" applyAlignment="1">
      <alignment horizontal="center"/>
    </xf>
    <xf numFmtId="3" fontId="5" fillId="0" borderId="5" xfId="4" applyNumberFormat="1" applyFont="1" applyFill="1" applyBorder="1" applyAlignment="1">
      <alignment horizontal="center"/>
    </xf>
    <xf numFmtId="3" fontId="15" fillId="0" borderId="5" xfId="4" applyNumberFormat="1" applyFont="1" applyFill="1" applyBorder="1" applyAlignment="1">
      <alignment horizontal="right"/>
    </xf>
    <xf numFmtId="185" fontId="5" fillId="3" borderId="5" xfId="3" applyNumberFormat="1" applyFont="1" applyFill="1" applyBorder="1" applyAlignment="1">
      <alignment horizontal="center"/>
    </xf>
    <xf numFmtId="185" fontId="5" fillId="0" borderId="5" xfId="4" applyNumberFormat="1" applyFont="1" applyFill="1" applyBorder="1" applyAlignment="1">
      <alignment horizontal="center"/>
    </xf>
    <xf numFmtId="185" fontId="15" fillId="0" borderId="5" xfId="4" applyNumberFormat="1" applyFont="1" applyFill="1" applyBorder="1" applyAlignment="1">
      <alignment horizontal="right"/>
    </xf>
    <xf numFmtId="185" fontId="5" fillId="3" borderId="10" xfId="3" applyNumberFormat="1" applyFont="1" applyFill="1" applyBorder="1" applyAlignment="1">
      <alignment horizontal="center"/>
    </xf>
    <xf numFmtId="0" fontId="5" fillId="0" borderId="19" xfId="4" applyFont="1" applyBorder="1"/>
    <xf numFmtId="0" fontId="5" fillId="0" borderId="2" xfId="4" applyFont="1" applyFill="1" applyBorder="1" applyAlignment="1">
      <alignment horizontal="center"/>
    </xf>
    <xf numFmtId="0" fontId="5" fillId="0" borderId="4" xfId="4" applyFont="1" applyFill="1" applyBorder="1" applyAlignment="1">
      <alignment horizontal="center"/>
    </xf>
    <xf numFmtId="0" fontId="5" fillId="0" borderId="12" xfId="4" applyFont="1" applyBorder="1" applyAlignment="1">
      <alignment horizontal="center"/>
    </xf>
    <xf numFmtId="0" fontId="5" fillId="0" borderId="6" xfId="4" applyFont="1" applyBorder="1"/>
    <xf numFmtId="0" fontId="5" fillId="0" borderId="3" xfId="4" applyFont="1" applyFill="1" applyBorder="1" applyAlignment="1">
      <alignment horizontal="center"/>
    </xf>
    <xf numFmtId="0" fontId="5" fillId="0" borderId="5" xfId="4" applyFont="1" applyFill="1" applyBorder="1"/>
    <xf numFmtId="0" fontId="5" fillId="0" borderId="6" xfId="4" applyFont="1" applyFill="1" applyBorder="1"/>
    <xf numFmtId="0" fontId="11" fillId="0" borderId="5" xfId="4" applyFont="1" applyBorder="1" applyAlignment="1">
      <alignment horizontal="center"/>
    </xf>
    <xf numFmtId="0" fontId="11" fillId="0" borderId="13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5" fillId="0" borderId="17" xfId="4" applyFont="1" applyBorder="1" applyAlignment="1">
      <alignment horizontal="center"/>
    </xf>
    <xf numFmtId="0" fontId="5" fillId="0" borderId="16" xfId="4" applyFont="1" applyBorder="1" applyAlignment="1">
      <alignment horizontal="center"/>
    </xf>
    <xf numFmtId="0" fontId="5" fillId="0" borderId="11" xfId="4" applyFont="1" applyBorder="1"/>
    <xf numFmtId="0" fontId="5" fillId="0" borderId="12" xfId="4" applyFont="1" applyBorder="1"/>
    <xf numFmtId="173" fontId="5" fillId="3" borderId="6" xfId="3" applyNumberFormat="1" applyFont="1" applyFill="1" applyBorder="1" applyAlignment="1"/>
    <xf numFmtId="173" fontId="11" fillId="3" borderId="6" xfId="3" applyNumberFormat="1" applyFont="1" applyFill="1" applyBorder="1" applyAlignment="1"/>
    <xf numFmtId="173" fontId="11" fillId="3" borderId="12" xfId="3" applyNumberFormat="1" applyFont="1" applyFill="1" applyBorder="1" applyAlignment="1"/>
    <xf numFmtId="0" fontId="5" fillId="0" borderId="17" xfId="4" applyFont="1" applyBorder="1"/>
    <xf numFmtId="3" fontId="5" fillId="2" borderId="0" xfId="1" applyNumberFormat="1" applyFont="1" applyFill="1" applyBorder="1"/>
    <xf numFmtId="3" fontId="5" fillId="2" borderId="11" xfId="1" applyNumberFormat="1" applyFont="1" applyFill="1" applyBorder="1"/>
    <xf numFmtId="173" fontId="5" fillId="3" borderId="19" xfId="3" applyNumberFormat="1" applyFont="1" applyFill="1" applyBorder="1" applyAlignment="1"/>
    <xf numFmtId="0" fontId="6" fillId="0" borderId="15" xfId="4" applyFont="1" applyFill="1" applyBorder="1" applyAlignment="1">
      <alignment horizontal="center"/>
    </xf>
    <xf numFmtId="0" fontId="6" fillId="0" borderId="5" xfId="4" applyFont="1" applyFill="1" applyBorder="1" applyAlignment="1">
      <alignment horizontal="center"/>
    </xf>
    <xf numFmtId="0" fontId="5" fillId="0" borderId="5" xfId="4" applyFont="1" applyFill="1" applyBorder="1" applyAlignment="1">
      <alignment horizontal="center"/>
    </xf>
    <xf numFmtId="0" fontId="5" fillId="0" borderId="6" xfId="4" applyFont="1" applyFill="1" applyBorder="1" applyAlignment="1">
      <alignment horizontal="center"/>
    </xf>
    <xf numFmtId="0" fontId="5" fillId="0" borderId="11" xfId="4" applyFont="1" applyFill="1" applyBorder="1" applyAlignment="1">
      <alignment horizontal="center"/>
    </xf>
    <xf numFmtId="0" fontId="5" fillId="0" borderId="12" xfId="4" applyFont="1" applyFill="1" applyBorder="1" applyAlignment="1">
      <alignment horizontal="center"/>
    </xf>
    <xf numFmtId="3" fontId="11" fillId="2" borderId="16" xfId="4" applyNumberFormat="1" applyFont="1" applyFill="1" applyBorder="1"/>
    <xf numFmtId="3" fontId="5" fillId="0" borderId="16" xfId="4" applyNumberFormat="1" applyFont="1" applyFill="1" applyBorder="1"/>
    <xf numFmtId="0" fontId="6" fillId="0" borderId="21" xfId="4" quotePrefix="1" applyFont="1" applyFill="1" applyBorder="1" applyAlignment="1">
      <alignment horizontal="right"/>
    </xf>
    <xf numFmtId="0" fontId="5" fillId="0" borderId="5" xfId="4" applyFont="1" applyBorder="1" applyAlignment="1">
      <alignment horizontal="center"/>
    </xf>
    <xf numFmtId="173" fontId="5" fillId="3" borderId="14" xfId="3" applyNumberFormat="1" applyFont="1" applyFill="1" applyBorder="1" applyAlignment="1"/>
    <xf numFmtId="3" fontId="11" fillId="3" borderId="5" xfId="4" applyNumberFormat="1" applyFont="1" applyFill="1" applyBorder="1"/>
    <xf numFmtId="3" fontId="11" fillId="3" borderId="0" xfId="4" applyNumberFormat="1" applyFont="1" applyFill="1" applyBorder="1"/>
    <xf numFmtId="3" fontId="11" fillId="3" borderId="6" xfId="4" applyNumberFormat="1" applyFont="1" applyFill="1" applyBorder="1"/>
    <xf numFmtId="3" fontId="11" fillId="3" borderId="7" xfId="4" applyNumberFormat="1" applyFont="1" applyFill="1" applyBorder="1"/>
    <xf numFmtId="3" fontId="11" fillId="3" borderId="8" xfId="4" applyNumberFormat="1" applyFont="1" applyFill="1" applyBorder="1"/>
    <xf numFmtId="3" fontId="11" fillId="3" borderId="9" xfId="4" applyNumberFormat="1" applyFont="1" applyFill="1" applyBorder="1"/>
    <xf numFmtId="3" fontId="11" fillId="3" borderId="23" xfId="4" applyNumberFormat="1" applyFont="1" applyFill="1" applyBorder="1"/>
    <xf numFmtId="3" fontId="5" fillId="3" borderId="5" xfId="4" applyNumberFormat="1" applyFont="1" applyFill="1" applyBorder="1"/>
    <xf numFmtId="3" fontId="5" fillId="3" borderId="0" xfId="4" applyNumberFormat="1" applyFont="1" applyFill="1" applyBorder="1"/>
    <xf numFmtId="3" fontId="5" fillId="3" borderId="6" xfId="4" applyNumberFormat="1" applyFont="1" applyFill="1" applyBorder="1"/>
    <xf numFmtId="3" fontId="44" fillId="3" borderId="7" xfId="4" applyNumberFormat="1" applyFont="1" applyFill="1" applyBorder="1"/>
    <xf numFmtId="3" fontId="44" fillId="3" borderId="8" xfId="4" applyNumberFormat="1" applyFont="1" applyFill="1" applyBorder="1"/>
    <xf numFmtId="3" fontId="5" fillId="3" borderId="8" xfId="4" applyNumberFormat="1" applyFont="1" applyFill="1" applyBorder="1"/>
    <xf numFmtId="3" fontId="44" fillId="3" borderId="5" xfId="3" applyNumberFormat="1" applyFont="1" applyFill="1" applyBorder="1"/>
    <xf numFmtId="3" fontId="44" fillId="3" borderId="0" xfId="3" applyNumberFormat="1" applyFont="1" applyFill="1" applyBorder="1"/>
    <xf numFmtId="3" fontId="44" fillId="3" borderId="10" xfId="3" applyNumberFormat="1" applyFont="1" applyFill="1" applyBorder="1"/>
    <xf numFmtId="3" fontId="44" fillId="3" borderId="11" xfId="3" applyNumberFormat="1" applyFont="1" applyFill="1" applyBorder="1"/>
    <xf numFmtId="3" fontId="44" fillId="3" borderId="5" xfId="4" applyNumberFormat="1" applyFont="1" applyFill="1" applyBorder="1"/>
    <xf numFmtId="3" fontId="44" fillId="3" borderId="0" xfId="4" applyNumberFormat="1" applyFont="1" applyFill="1" applyBorder="1"/>
    <xf numFmtId="0" fontId="12" fillId="0" borderId="0" xfId="4" applyFont="1" applyFill="1" applyBorder="1" applyAlignment="1">
      <alignment horizontal="left"/>
    </xf>
    <xf numFmtId="184" fontId="5" fillId="0" borderId="0" xfId="0" applyNumberFormat="1" applyFont="1"/>
    <xf numFmtId="1" fontId="12" fillId="0" borderId="0" xfId="0" applyNumberFormat="1" applyFont="1" applyBorder="1" applyProtection="1"/>
    <xf numFmtId="1" fontId="6" fillId="0" borderId="0" xfId="0" applyNumberFormat="1" applyFont="1" applyBorder="1" applyAlignment="1" applyProtection="1">
      <alignment horizontal="right"/>
    </xf>
    <xf numFmtId="0" fontId="15" fillId="0" borderId="0" xfId="0" applyFont="1" applyAlignment="1" applyProtection="1">
      <alignment horizontal="right"/>
    </xf>
    <xf numFmtId="3" fontId="5" fillId="0" borderId="0" xfId="0" applyNumberFormat="1" applyFont="1" applyBorder="1" applyProtection="1"/>
    <xf numFmtId="0" fontId="6" fillId="0" borderId="11" xfId="0" applyFont="1" applyBorder="1" applyProtection="1"/>
    <xf numFmtId="182" fontId="35" fillId="7" borderId="21" xfId="1" applyNumberFormat="1" applyFont="1" applyFill="1" applyBorder="1" applyAlignment="1">
      <alignment horizontal="center"/>
    </xf>
    <xf numFmtId="0" fontId="10" fillId="0" borderId="0" xfId="1" applyFont="1" applyAlignment="1"/>
    <xf numFmtId="0" fontId="3" fillId="0" borderId="0" xfId="4" applyFont="1" applyFill="1"/>
    <xf numFmtId="3" fontId="3" fillId="12" borderId="0" xfId="4" applyNumberFormat="1" applyFont="1" applyFill="1" applyBorder="1"/>
    <xf numFmtId="3" fontId="3" fillId="0" borderId="0" xfId="4" applyNumberFormat="1" applyFont="1" applyFill="1" applyBorder="1"/>
    <xf numFmtId="3" fontId="45" fillId="3" borderId="8" xfId="4" applyNumberFormat="1" applyFont="1" applyFill="1" applyBorder="1"/>
    <xf numFmtId="3" fontId="45" fillId="3" borderId="9" xfId="4" applyNumberFormat="1" applyFont="1" applyFill="1" applyBorder="1"/>
    <xf numFmtId="0" fontId="3" fillId="0" borderId="0" xfId="4" applyFont="1" applyAlignment="1"/>
    <xf numFmtId="0" fontId="3" fillId="0" borderId="0" xfId="4" applyFont="1" applyBorder="1" applyAlignment="1"/>
    <xf numFmtId="0" fontId="3" fillId="0" borderId="0" xfId="4" applyFont="1"/>
    <xf numFmtId="0" fontId="3" fillId="0" borderId="0" xfId="4" applyFont="1" applyFill="1" applyBorder="1"/>
    <xf numFmtId="176" fontId="46" fillId="3" borderId="0" xfId="6" applyNumberFormat="1" applyFont="1" applyFill="1" applyBorder="1"/>
    <xf numFmtId="176" fontId="11" fillId="0" borderId="0" xfId="6" applyNumberFormat="1" applyFont="1" applyFill="1" applyBorder="1"/>
    <xf numFmtId="3" fontId="3" fillId="3" borderId="7" xfId="4" applyNumberFormat="1" applyFont="1" applyFill="1" applyBorder="1"/>
    <xf numFmtId="3" fontId="3" fillId="3" borderId="9" xfId="4" applyNumberFormat="1" applyFont="1" applyFill="1" applyBorder="1"/>
    <xf numFmtId="10" fontId="3" fillId="3" borderId="0" xfId="4" applyNumberFormat="1" applyFont="1" applyFill="1" applyBorder="1" applyAlignment="1">
      <alignment horizontal="center"/>
    </xf>
    <xf numFmtId="0" fontId="34" fillId="3" borderId="10" xfId="4" applyFont="1" applyFill="1" applyBorder="1" applyAlignment="1">
      <alignment horizontal="center"/>
    </xf>
    <xf numFmtId="171" fontId="3" fillId="0" borderId="0" xfId="4" applyNumberFormat="1" applyFont="1" applyFill="1" applyBorder="1" applyAlignment="1">
      <alignment horizontal="center"/>
    </xf>
    <xf numFmtId="0" fontId="6" fillId="0" borderId="0" xfId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10" fontId="3" fillId="0" borderId="0" xfId="4" applyNumberFormat="1" applyFont="1" applyFill="1" applyBorder="1" applyAlignment="1">
      <alignment horizontal="center"/>
    </xf>
    <xf numFmtId="10" fontId="3" fillId="0" borderId="0" xfId="6" applyNumberFormat="1" applyFont="1" applyFill="1" applyBorder="1" applyAlignment="1">
      <alignment horizontal="center"/>
    </xf>
    <xf numFmtId="0" fontId="3" fillId="0" borderId="0" xfId="4" applyFont="1" applyBorder="1"/>
    <xf numFmtId="0" fontId="3" fillId="0" borderId="18" xfId="4" applyFont="1" applyBorder="1"/>
    <xf numFmtId="0" fontId="34" fillId="3" borderId="15" xfId="4" applyFont="1" applyFill="1" applyBorder="1" applyAlignment="1">
      <alignment horizontal="center"/>
    </xf>
    <xf numFmtId="0" fontId="34" fillId="3" borderId="0" xfId="4" applyFont="1" applyFill="1" applyBorder="1" applyAlignment="1">
      <alignment horizontal="center"/>
    </xf>
    <xf numFmtId="0" fontId="34" fillId="3" borderId="6" xfId="4" applyFont="1" applyFill="1" applyBorder="1" applyAlignment="1">
      <alignment horizontal="center"/>
    </xf>
    <xf numFmtId="0" fontId="34" fillId="0" borderId="13" xfId="4" applyFont="1" applyBorder="1" applyAlignment="1">
      <alignment horizontal="center"/>
    </xf>
    <xf numFmtId="187" fontId="5" fillId="0" borderId="0" xfId="0" applyNumberFormat="1" applyFont="1"/>
    <xf numFmtId="0" fontId="14" fillId="13" borderId="1" xfId="4" applyFont="1" applyFill="1" applyBorder="1"/>
    <xf numFmtId="0" fontId="6" fillId="0" borderId="2" xfId="1" applyFont="1" applyBorder="1" applyAlignment="1">
      <alignment horizontal="right"/>
    </xf>
    <xf numFmtId="0" fontId="6" fillId="0" borderId="4" xfId="1" applyFont="1" applyFill="1" applyBorder="1" applyAlignment="1">
      <alignment horizontal="right"/>
    </xf>
    <xf numFmtId="171" fontId="3" fillId="0" borderId="13" xfId="1" applyNumberFormat="1" applyFont="1" applyBorder="1" applyAlignment="1">
      <alignment horizontal="center"/>
    </xf>
    <xf numFmtId="3" fontId="11" fillId="3" borderId="15" xfId="4" applyNumberFormat="1" applyFont="1" applyFill="1" applyBorder="1"/>
    <xf numFmtId="3" fontId="11" fillId="3" borderId="17" xfId="4" applyNumberFormat="1" applyFont="1" applyFill="1" applyBorder="1"/>
    <xf numFmtId="3" fontId="11" fillId="3" borderId="16" xfId="4" applyNumberFormat="1" applyFont="1" applyFill="1" applyBorder="1"/>
    <xf numFmtId="171" fontId="3" fillId="0" borderId="19" xfId="1" applyNumberFormat="1" applyFont="1" applyBorder="1" applyAlignment="1">
      <alignment horizontal="center"/>
    </xf>
    <xf numFmtId="171" fontId="3" fillId="0" borderId="14" xfId="1" applyNumberFormat="1" applyFont="1" applyBorder="1" applyAlignment="1">
      <alignment horizontal="center"/>
    </xf>
    <xf numFmtId="3" fontId="11" fillId="3" borderId="10" xfId="4" applyNumberFormat="1" applyFont="1" applyFill="1" applyBorder="1"/>
    <xf numFmtId="3" fontId="11" fillId="3" borderId="11" xfId="4" applyNumberFormat="1" applyFont="1" applyFill="1" applyBorder="1"/>
    <xf numFmtId="3" fontId="11" fillId="3" borderId="12" xfId="4" applyNumberFormat="1" applyFont="1" applyFill="1" applyBorder="1"/>
    <xf numFmtId="0" fontId="3" fillId="0" borderId="0" xfId="1" applyFont="1"/>
    <xf numFmtId="3" fontId="3" fillId="0" borderId="7" xfId="1" applyNumberFormat="1" applyFont="1" applyBorder="1"/>
    <xf numFmtId="3" fontId="3" fillId="0" borderId="8" xfId="1" applyNumberFormat="1" applyFont="1" applyBorder="1"/>
    <xf numFmtId="3" fontId="3" fillId="0" borderId="9" xfId="1" applyNumberFormat="1" applyFont="1" applyBorder="1"/>
    <xf numFmtId="0" fontId="6" fillId="0" borderId="4" xfId="1" applyFont="1" applyBorder="1" applyAlignment="1">
      <alignment horizontal="right"/>
    </xf>
    <xf numFmtId="10" fontId="3" fillId="0" borderId="19" xfId="1" applyNumberFormat="1" applyFont="1" applyFill="1" applyBorder="1" applyAlignment="1">
      <alignment horizontal="center"/>
    </xf>
    <xf numFmtId="3" fontId="3" fillId="0" borderId="0" xfId="1" applyNumberFormat="1" applyFont="1" applyFill="1" applyBorder="1"/>
    <xf numFmtId="3" fontId="3" fillId="0" borderId="6" xfId="1" applyNumberFormat="1" applyFont="1" applyFill="1" applyBorder="1"/>
    <xf numFmtId="10" fontId="3" fillId="0" borderId="14" xfId="1" applyNumberFormat="1" applyFon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1" fontId="11" fillId="3" borderId="21" xfId="4" applyNumberFormat="1" applyFont="1" applyFill="1" applyBorder="1" applyAlignment="1">
      <alignment horizontal="center"/>
    </xf>
    <xf numFmtId="0" fontId="3" fillId="0" borderId="0" xfId="1" applyFont="1" applyFill="1"/>
    <xf numFmtId="2" fontId="6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3" fontId="3" fillId="0" borderId="2" xfId="1" applyNumberFormat="1" applyFont="1" applyFill="1" applyBorder="1"/>
    <xf numFmtId="3" fontId="3" fillId="0" borderId="3" xfId="1" applyNumberFormat="1" applyFont="1" applyFill="1" applyBorder="1"/>
    <xf numFmtId="3" fontId="3" fillId="0" borderId="4" xfId="1" applyNumberFormat="1" applyFont="1" applyFill="1" applyBorder="1"/>
    <xf numFmtId="3" fontId="3" fillId="0" borderId="5" xfId="1" applyNumberFormat="1" applyFont="1" applyFill="1" applyBorder="1"/>
    <xf numFmtId="3" fontId="11" fillId="0" borderId="5" xfId="1" applyNumberFormat="1" applyFont="1" applyFill="1" applyBorder="1"/>
    <xf numFmtId="3" fontId="11" fillId="0" borderId="0" xfId="1" applyNumberFormat="1" applyFont="1" applyFill="1" applyBorder="1"/>
    <xf numFmtId="3" fontId="11" fillId="0" borderId="6" xfId="1" applyNumberFormat="1" applyFont="1" applyFill="1" applyBorder="1"/>
    <xf numFmtId="0" fontId="3" fillId="0" borderId="0" xfId="1" applyFont="1" applyBorder="1"/>
    <xf numFmtId="3" fontId="3" fillId="0" borderId="9" xfId="1" applyNumberFormat="1" applyFont="1" applyFill="1" applyBorder="1"/>
    <xf numFmtId="3" fontId="3" fillId="0" borderId="5" xfId="1" applyNumberFormat="1" applyFont="1" applyBorder="1"/>
    <xf numFmtId="3" fontId="3" fillId="0" borderId="0" xfId="1" applyNumberFormat="1" applyFont="1" applyBorder="1"/>
    <xf numFmtId="0" fontId="3" fillId="0" borderId="5" xfId="1" applyFont="1" applyBorder="1"/>
    <xf numFmtId="0" fontId="3" fillId="0" borderId="6" xfId="1" applyFont="1" applyBorder="1"/>
    <xf numFmtId="3" fontId="3" fillId="0" borderId="10" xfId="1" applyNumberFormat="1" applyFont="1" applyBorder="1"/>
    <xf numFmtId="3" fontId="3" fillId="0" borderId="11" xfId="1" applyNumberFormat="1" applyFont="1" applyBorder="1"/>
    <xf numFmtId="3" fontId="3" fillId="0" borderId="12" xfId="1" applyNumberFormat="1" applyFont="1" applyFill="1" applyBorder="1"/>
    <xf numFmtId="171" fontId="3" fillId="0" borderId="19" xfId="4" applyNumberFormat="1" applyFont="1" applyFill="1" applyBorder="1" applyAlignment="1">
      <alignment horizontal="center"/>
    </xf>
    <xf numFmtId="171" fontId="3" fillId="0" borderId="14" xfId="4" applyNumberFormat="1" applyFont="1" applyFill="1" applyBorder="1" applyAlignment="1">
      <alignment horizontal="center"/>
    </xf>
    <xf numFmtId="3" fontId="3" fillId="0" borderId="2" xfId="3" applyNumberFormat="1" applyFont="1" applyFill="1" applyBorder="1"/>
    <xf numFmtId="3" fontId="3" fillId="0" borderId="3" xfId="3" applyNumberFormat="1" applyFont="1" applyFill="1" applyBorder="1"/>
    <xf numFmtId="3" fontId="3" fillId="0" borderId="4" xfId="3" applyNumberFormat="1" applyFont="1" applyFill="1" applyBorder="1"/>
    <xf numFmtId="3" fontId="3" fillId="0" borderId="0" xfId="3" applyNumberFormat="1" applyFont="1" applyFill="1" applyBorder="1"/>
    <xf numFmtId="0" fontId="6" fillId="0" borderId="2" xfId="1" quotePrefix="1" applyFont="1" applyFill="1" applyBorder="1" applyAlignment="1">
      <alignment horizontal="right"/>
    </xf>
    <xf numFmtId="0" fontId="6" fillId="0" borderId="3" xfId="1" quotePrefix="1" applyFont="1" applyFill="1" applyBorder="1" applyAlignment="1">
      <alignment horizontal="right"/>
    </xf>
    <xf numFmtId="0" fontId="6" fillId="0" borderId="4" xfId="1" quotePrefix="1" applyFont="1" applyFill="1" applyBorder="1" applyAlignment="1">
      <alignment horizontal="right"/>
    </xf>
    <xf numFmtId="3" fontId="3" fillId="0" borderId="16" xfId="3" applyNumberFormat="1" applyFont="1" applyFill="1" applyBorder="1"/>
    <xf numFmtId="10" fontId="3" fillId="0" borderId="13" xfId="4" applyNumberFormat="1" applyFont="1" applyFill="1" applyBorder="1" applyAlignment="1">
      <alignment horizontal="center"/>
    </xf>
    <xf numFmtId="3" fontId="3" fillId="0" borderId="5" xfId="4" applyNumberFormat="1" applyFont="1" applyFill="1" applyBorder="1"/>
    <xf numFmtId="3" fontId="3" fillId="0" borderId="6" xfId="4" applyNumberFormat="1" applyFont="1" applyFill="1" applyBorder="1"/>
    <xf numFmtId="10" fontId="3" fillId="0" borderId="19" xfId="6" applyNumberFormat="1" applyFont="1" applyFill="1" applyBorder="1" applyAlignment="1">
      <alignment horizontal="center"/>
    </xf>
    <xf numFmtId="10" fontId="3" fillId="0" borderId="14" xfId="6" applyNumberFormat="1" applyFont="1" applyFill="1" applyBorder="1" applyAlignment="1">
      <alignment horizontal="center"/>
    </xf>
    <xf numFmtId="3" fontId="3" fillId="0" borderId="7" xfId="4" applyNumberFormat="1" applyFont="1" applyFill="1" applyBorder="1"/>
    <xf numFmtId="3" fontId="3" fillId="0" borderId="8" xfId="4" applyNumberFormat="1" applyFont="1" applyFill="1" applyBorder="1"/>
    <xf numFmtId="3" fontId="3" fillId="0" borderId="9" xfId="4" applyNumberFormat="1" applyFont="1" applyFill="1" applyBorder="1"/>
    <xf numFmtId="0" fontId="3" fillId="0" borderId="0" xfId="1" applyFont="1" applyFill="1" applyBorder="1"/>
    <xf numFmtId="171" fontId="11" fillId="3" borderId="14" xfId="1" applyNumberFormat="1" applyFont="1" applyFill="1" applyBorder="1" applyAlignment="1">
      <alignment horizontal="center"/>
    </xf>
    <xf numFmtId="0" fontId="15" fillId="0" borderId="0" xfId="4" applyFont="1" applyFill="1" applyBorder="1"/>
    <xf numFmtId="17" fontId="3" fillId="0" borderId="15" xfId="1" applyNumberFormat="1" applyFont="1" applyBorder="1" applyAlignment="1">
      <alignment horizontal="center"/>
    </xf>
    <xf numFmtId="0" fontId="11" fillId="3" borderId="13" xfId="1" applyFont="1" applyFill="1" applyBorder="1" applyAlignment="1">
      <alignment horizontal="center"/>
    </xf>
    <xf numFmtId="17" fontId="3" fillId="0" borderId="5" xfId="1" applyNumberFormat="1" applyFont="1" applyBorder="1" applyAlignment="1">
      <alignment horizontal="center"/>
    </xf>
    <xf numFmtId="17" fontId="3" fillId="0" borderId="10" xfId="1" applyNumberFormat="1" applyFont="1" applyBorder="1" applyAlignment="1">
      <alignment horizontal="center"/>
    </xf>
    <xf numFmtId="0" fontId="3" fillId="0" borderId="18" xfId="1" applyFont="1" applyFill="1" applyBorder="1"/>
    <xf numFmtId="0" fontId="3" fillId="0" borderId="18" xfId="4" applyFont="1" applyFill="1" applyBorder="1"/>
    <xf numFmtId="3" fontId="3" fillId="3" borderId="8" xfId="4" applyNumberFormat="1" applyFont="1" applyFill="1" applyBorder="1"/>
    <xf numFmtId="0" fontId="3" fillId="0" borderId="0" xfId="4" applyFont="1" applyFill="1" applyBorder="1" applyAlignment="1">
      <alignment horizontal="center"/>
    </xf>
    <xf numFmtId="0" fontId="6" fillId="0" borderId="21" xfId="0" applyFont="1" applyFill="1" applyBorder="1" applyAlignment="1" applyProtection="1">
      <alignment horizontal="center"/>
    </xf>
    <xf numFmtId="0" fontId="6" fillId="0" borderId="17" xfId="4" quotePrefix="1" applyFont="1" applyFill="1" applyBorder="1" applyAlignment="1">
      <alignment horizontal="center"/>
    </xf>
    <xf numFmtId="0" fontId="6" fillId="0" borderId="16" xfId="4" quotePrefix="1" applyFont="1" applyFill="1" applyBorder="1" applyAlignment="1">
      <alignment horizontal="center"/>
    </xf>
    <xf numFmtId="0" fontId="3" fillId="3" borderId="11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3" fillId="0" borderId="13" xfId="4" applyFont="1" applyBorder="1" applyAlignment="1">
      <alignment horizontal="center"/>
    </xf>
    <xf numFmtId="0" fontId="3" fillId="0" borderId="14" xfId="4" applyFont="1" applyBorder="1" applyAlignment="1">
      <alignment horizontal="center"/>
    </xf>
    <xf numFmtId="1" fontId="12" fillId="0" borderId="0" xfId="0" applyNumberFormat="1" applyFont="1" applyAlignment="1" applyProtection="1"/>
    <xf numFmtId="0" fontId="5" fillId="0" borderId="0" xfId="0" applyFont="1" applyFill="1" applyAlignment="1" applyProtection="1"/>
    <xf numFmtId="0" fontId="5" fillId="0" borderId="0" xfId="0" applyFont="1" applyAlignment="1" applyProtection="1"/>
    <xf numFmtId="0" fontId="6" fillId="0" borderId="21" xfId="4" applyFont="1" applyFill="1" applyBorder="1" applyAlignment="1">
      <alignment horizontal="center"/>
    </xf>
    <xf numFmtId="0" fontId="3" fillId="0" borderId="0" xfId="0" applyFont="1"/>
    <xf numFmtId="0" fontId="3" fillId="0" borderId="0" xfId="7"/>
    <xf numFmtId="0" fontId="6" fillId="0" borderId="21" xfId="7" applyFont="1" applyBorder="1"/>
    <xf numFmtId="0" fontId="3" fillId="0" borderId="17" xfId="7" applyBorder="1"/>
    <xf numFmtId="0" fontId="6" fillId="0" borderId="21" xfId="7" applyFont="1" applyBorder="1" applyAlignment="1">
      <alignment horizontal="right"/>
    </xf>
    <xf numFmtId="0" fontId="6" fillId="0" borderId="21" xfId="7" applyFont="1" applyBorder="1" applyAlignment="1">
      <alignment horizontal="center" wrapText="1"/>
    </xf>
    <xf numFmtId="0" fontId="3" fillId="0" borderId="13" xfId="7" applyBorder="1"/>
    <xf numFmtId="3" fontId="3" fillId="0" borderId="19" xfId="7" applyNumberFormat="1" applyBorder="1"/>
    <xf numFmtId="0" fontId="3" fillId="0" borderId="0" xfId="7" applyBorder="1"/>
    <xf numFmtId="4" fontId="3" fillId="14" borderId="19" xfId="7" applyNumberFormat="1" applyFill="1" applyBorder="1"/>
    <xf numFmtId="171" fontId="3" fillId="14" borderId="19" xfId="7" applyNumberFormat="1" applyFill="1" applyBorder="1" applyAlignment="1">
      <alignment horizontal="center"/>
    </xf>
    <xf numFmtId="171" fontId="48" fillId="14" borderId="19" xfId="7" applyNumberFormat="1" applyFont="1" applyFill="1" applyBorder="1" applyAlignment="1">
      <alignment horizontal="center"/>
    </xf>
    <xf numFmtId="188" fontId="3" fillId="0" borderId="0" xfId="7" applyNumberFormat="1"/>
    <xf numFmtId="0" fontId="3" fillId="0" borderId="19" xfId="7" applyBorder="1"/>
    <xf numFmtId="0" fontId="3" fillId="0" borderId="14" xfId="7" applyBorder="1"/>
    <xf numFmtId="3" fontId="3" fillId="0" borderId="21" xfId="7" applyNumberFormat="1" applyBorder="1"/>
    <xf numFmtId="0" fontId="3" fillId="0" borderId="11" xfId="7" applyBorder="1"/>
    <xf numFmtId="4" fontId="3" fillId="0" borderId="21" xfId="7" applyNumberFormat="1" applyBorder="1"/>
    <xf numFmtId="0" fontId="6" fillId="0" borderId="21" xfId="7" applyFont="1" applyBorder="1" applyAlignment="1">
      <alignment horizontal="center"/>
    </xf>
    <xf numFmtId="0" fontId="37" fillId="0" borderId="4" xfId="4" applyFont="1" applyBorder="1" applyAlignment="1">
      <alignment horizontal="center"/>
    </xf>
    <xf numFmtId="10" fontId="3" fillId="3" borderId="5" xfId="4" applyNumberFormat="1" applyFont="1" applyFill="1" applyBorder="1" applyAlignment="1">
      <alignment horizontal="center"/>
    </xf>
    <xf numFmtId="10" fontId="3" fillId="3" borderId="6" xfId="4" applyNumberFormat="1" applyFont="1" applyFill="1" applyBorder="1" applyAlignment="1">
      <alignment horizontal="center"/>
    </xf>
    <xf numFmtId="10" fontId="49" fillId="0" borderId="19" xfId="7" applyNumberFormat="1" applyFont="1" applyBorder="1" applyAlignment="1">
      <alignment horizontal="center"/>
    </xf>
    <xf numFmtId="174" fontId="3" fillId="0" borderId="10" xfId="4" applyNumberFormat="1" applyFont="1" applyFill="1" applyBorder="1" applyAlignment="1">
      <alignment horizontal="center"/>
    </xf>
    <xf numFmtId="174" fontId="3" fillId="0" borderId="11" xfId="4" applyNumberFormat="1" applyFont="1" applyFill="1" applyBorder="1" applyAlignment="1">
      <alignment horizontal="center"/>
    </xf>
    <xf numFmtId="174" fontId="3" fillId="0" borderId="12" xfId="4" applyNumberFormat="1" applyFont="1" applyFill="1" applyBorder="1" applyAlignment="1">
      <alignment horizontal="center"/>
    </xf>
    <xf numFmtId="10" fontId="3" fillId="0" borderId="14" xfId="11" applyNumberFormat="1" applyBorder="1"/>
    <xf numFmtId="0" fontId="47" fillId="13" borderId="0" xfId="7" applyFont="1" applyFill="1"/>
    <xf numFmtId="0" fontId="6" fillId="0" borderId="0" xfId="7" applyFont="1" applyBorder="1" applyAlignment="1">
      <alignment horizontal="left"/>
    </xf>
    <xf numFmtId="0" fontId="6" fillId="0" borderId="3" xfId="7" applyFont="1" applyBorder="1"/>
    <xf numFmtId="4" fontId="3" fillId="14" borderId="0" xfId="7" applyNumberFormat="1" applyFill="1"/>
    <xf numFmtId="0" fontId="47" fillId="0" borderId="0" xfId="7" applyFont="1"/>
    <xf numFmtId="3" fontId="47" fillId="0" borderId="0" xfId="7" applyNumberFormat="1" applyFont="1" applyAlignment="1">
      <alignment horizontal="left"/>
    </xf>
    <xf numFmtId="0" fontId="3" fillId="0" borderId="0" xfId="7" applyFont="1"/>
    <xf numFmtId="171" fontId="3" fillId="0" borderId="0" xfId="7" applyNumberFormat="1" applyAlignment="1">
      <alignment horizontal="left"/>
    </xf>
    <xf numFmtId="171" fontId="3" fillId="0" borderId="13" xfId="7" applyNumberFormat="1" applyBorder="1" applyAlignment="1">
      <alignment horizontal="left"/>
    </xf>
    <xf numFmtId="0" fontId="3" fillId="0" borderId="15" xfId="7" applyBorder="1"/>
    <xf numFmtId="0" fontId="3" fillId="0" borderId="16" xfId="7" applyBorder="1" applyAlignment="1">
      <alignment horizontal="center"/>
    </xf>
    <xf numFmtId="0" fontId="3" fillId="0" borderId="13" xfId="7" applyBorder="1" applyAlignment="1">
      <alignment horizontal="center"/>
    </xf>
    <xf numFmtId="171" fontId="3" fillId="0" borderId="14" xfId="7" applyNumberFormat="1" applyBorder="1" applyAlignment="1">
      <alignment horizontal="center"/>
    </xf>
    <xf numFmtId="0" fontId="3" fillId="0" borderId="14" xfId="7" applyBorder="1" applyAlignment="1">
      <alignment horizontal="center"/>
    </xf>
    <xf numFmtId="0" fontId="3" fillId="0" borderId="10" xfId="7" applyBorder="1" applyAlignment="1">
      <alignment horizontal="center"/>
    </xf>
    <xf numFmtId="0" fontId="3" fillId="0" borderId="12" xfId="7" applyBorder="1" applyAlignment="1">
      <alignment horizontal="center"/>
    </xf>
    <xf numFmtId="0" fontId="47" fillId="0" borderId="14" xfId="7" applyFont="1" applyBorder="1" applyAlignment="1">
      <alignment horizontal="right"/>
    </xf>
    <xf numFmtId="0" fontId="6" fillId="0" borderId="19" xfId="7" applyFont="1" applyBorder="1" applyAlignment="1">
      <alignment horizontal="center"/>
    </xf>
    <xf numFmtId="0" fontId="3" fillId="0" borderId="19" xfId="7" applyBorder="1" applyAlignment="1">
      <alignment horizontal="center"/>
    </xf>
    <xf numFmtId="3" fontId="3" fillId="0" borderId="5" xfId="7" applyNumberFormat="1" applyBorder="1" applyAlignment="1">
      <alignment horizontal="center"/>
    </xf>
    <xf numFmtId="3" fontId="3" fillId="0" borderId="6" xfId="7" applyNumberFormat="1" applyBorder="1" applyAlignment="1">
      <alignment horizontal="center"/>
    </xf>
    <xf numFmtId="171" fontId="3" fillId="0" borderId="19" xfId="7" applyNumberFormat="1" applyBorder="1" applyAlignment="1">
      <alignment horizontal="center"/>
    </xf>
    <xf numFmtId="0" fontId="6" fillId="0" borderId="14" xfId="7" applyFont="1" applyBorder="1"/>
    <xf numFmtId="0" fontId="3" fillId="0" borderId="10" xfId="7" applyBorder="1"/>
    <xf numFmtId="3" fontId="3" fillId="0" borderId="4" xfId="7" applyNumberFormat="1" applyBorder="1" applyAlignment="1">
      <alignment horizontal="center"/>
    </xf>
    <xf numFmtId="164" fontId="6" fillId="0" borderId="21" xfId="7" applyNumberFormat="1" applyFont="1" applyBorder="1" applyAlignment="1">
      <alignment horizontal="center"/>
    </xf>
    <xf numFmtId="3" fontId="47" fillId="0" borderId="21" xfId="7" applyNumberFormat="1" applyFont="1" applyBorder="1"/>
    <xf numFmtId="0" fontId="6" fillId="0" borderId="0" xfId="7" applyFont="1"/>
    <xf numFmtId="0" fontId="50" fillId="0" borderId="4" xfId="4" applyFont="1" applyBorder="1" applyAlignment="1">
      <alignment horizontal="center"/>
    </xf>
    <xf numFmtId="0" fontId="3" fillId="0" borderId="2" xfId="7" applyBorder="1" applyAlignment="1">
      <alignment horizontal="center"/>
    </xf>
    <xf numFmtId="0" fontId="2" fillId="0" borderId="4" xfId="10" applyBorder="1" applyAlignment="1">
      <alignment horizontal="center"/>
    </xf>
    <xf numFmtId="0" fontId="47" fillId="13" borderId="2" xfId="7" applyFont="1" applyFill="1" applyBorder="1" applyAlignment="1">
      <alignment horizontal="center"/>
    </xf>
    <xf numFmtId="0" fontId="2" fillId="0" borderId="3" xfId="10" applyBorder="1" applyAlignment="1">
      <alignment horizontal="center"/>
    </xf>
    <xf numFmtId="0" fontId="3" fillId="0" borderId="3" xfId="7" applyBorder="1" applyAlignment="1"/>
    <xf numFmtId="0" fontId="3" fillId="0" borderId="4" xfId="7" applyBorder="1" applyAlignment="1"/>
    <xf numFmtId="0" fontId="6" fillId="4" borderId="2" xfId="4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6" fillId="0" borderId="2" xfId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2" fontId="6" fillId="0" borderId="2" xfId="1" applyNumberFormat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7" fillId="4" borderId="2" xfId="1" applyFont="1" applyFill="1" applyBorder="1" applyAlignment="1" applyProtection="1">
      <alignment horizontal="center"/>
    </xf>
    <xf numFmtId="0" fontId="7" fillId="4" borderId="3" xfId="1" applyFont="1" applyFill="1" applyBorder="1" applyAlignment="1" applyProtection="1">
      <alignment horizontal="center"/>
    </xf>
    <xf numFmtId="0" fontId="8" fillId="4" borderId="3" xfId="1" applyFont="1" applyFill="1" applyBorder="1" applyAlignment="1" applyProtection="1">
      <alignment horizontal="center"/>
    </xf>
    <xf numFmtId="0" fontId="8" fillId="4" borderId="4" xfId="1" applyFont="1" applyFill="1" applyBorder="1" applyAlignment="1" applyProtection="1">
      <alignment horizontal="center"/>
    </xf>
    <xf numFmtId="2" fontId="6" fillId="0" borderId="2" xfId="1" applyNumberFormat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2" fontId="6" fillId="0" borderId="3" xfId="1" applyNumberFormat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0" fontId="6" fillId="0" borderId="2" xfId="4" applyFont="1" applyFill="1" applyBorder="1" applyAlignment="1">
      <alignment horizontal="center"/>
    </xf>
  </cellXfs>
  <cellStyles count="20">
    <cellStyle name="Comma" xfId="2" builtinId="3"/>
    <cellStyle name="Currency" xfId="3" builtinId="4"/>
    <cellStyle name="Currency 2 2" xfId="12"/>
    <cellStyle name="Currency 2 3" xfId="13"/>
    <cellStyle name="Input1" xfId="8"/>
    <cellStyle name="Input3" xfId="9"/>
    <cellStyle name="Normal" xfId="0" builtinId="0"/>
    <cellStyle name="Normal 114" xfId="14"/>
    <cellStyle name="Normal 2" xfId="7"/>
    <cellStyle name="Normal 2 2" xfId="15"/>
    <cellStyle name="Normal 3" xfId="10"/>
    <cellStyle name="Normal 4" xfId="16"/>
    <cellStyle name="Normal_CP Templates 260209 am" xfId="4"/>
    <cellStyle name="Normal_Tax Dep" xfId="5"/>
    <cellStyle name="Percent" xfId="6" builtinId="5"/>
    <cellStyle name="Percent 2" xfId="11"/>
    <cellStyle name="SheetHeader1" xfId="17"/>
    <cellStyle name="Style 1" xfId="1"/>
    <cellStyle name="TableLvl2" xfId="18"/>
    <cellStyle name="TableLvl3" xfId="19"/>
  </cellStyles>
  <dxfs count="1">
    <dxf>
      <font>
        <b/>
        <i val="0"/>
        <condense val="0"/>
        <extend val="0"/>
        <color indexed="1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941295</xdr:colOff>
      <xdr:row>5</xdr:row>
      <xdr:rowOff>35859</xdr:rowOff>
    </xdr:from>
    <xdr:to>
      <xdr:col>13</xdr:col>
      <xdr:colOff>44824</xdr:colOff>
      <xdr:row>12</xdr:row>
      <xdr:rowOff>8965</xdr:rowOff>
    </xdr:to>
    <xdr:sp macro="" textlink="">
      <xdr:nvSpPr>
        <xdr:cNvPr id="2" name="TextBox 1"/>
        <xdr:cNvSpPr txBox="1"/>
      </xdr:nvSpPr>
      <xdr:spPr>
        <a:xfrm>
          <a:off x="5531224" y="887506"/>
          <a:ext cx="7279341" cy="1165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6000" b="1">
              <a:solidFill>
                <a:srgbClr val="FF0000"/>
              </a:solidFill>
            </a:rPr>
            <a:t>NOT IN USE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Draft%20Determination/AER%20-%20Preliminary%20decision%20AusNet%20Services%20-%20Metering%20post%20tax%20revenue%20model%20and%20exit%20fees%20-%20October%20201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Submission%20Apr%2015/Alternative%20control%20metering%20services%20charges%20model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trategic%20Regulatory%20Programs/AMI%20Cost%20Recovery/CY14%20EEA/Costs%20allowed%20and%20approved%20and%20EEA%201611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16-20%20EDPR/TEAM%20WORKING%20FOLDERS/METERING/Forecast%20costs%20v2%20-%20Updated%20IT%20comms%20Real%20$14%20v2303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Metering%20cost%20model%20-%20revise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09%20AMI%20Cost%20Recovery/2016%20Charges%20Application/Exit%20fee/Meter%20RAB%20by%20meter%20types%200412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MS input"/>
      <sheetName val="Exit Fees Nominal"/>
      <sheetName val="Exit Fees Real $2015"/>
      <sheetName val="PTRM input"/>
      <sheetName val="WACC"/>
      <sheetName val="Assets"/>
      <sheetName val="Analysis"/>
      <sheetName val="Forecast revenues"/>
      <sheetName val="X factors"/>
      <sheetName val="Revenue summary"/>
      <sheetName val="Equity raising costs"/>
      <sheetName val="Chart 1-Revenue"/>
      <sheetName val="Chart 2-Price path"/>
      <sheetName val="Chart 3-Building blocks"/>
    </sheetNames>
    <sheetDataSet>
      <sheetData sheetId="0"/>
      <sheetData sheetId="1"/>
      <sheetData sheetId="2"/>
      <sheetData sheetId="3"/>
      <sheetData sheetId="4">
        <row r="7">
          <cell r="G7" t="str">
            <v>Remotely read interval meters &amp; transformers</v>
          </cell>
          <cell r="J7">
            <v>297.66912340697218</v>
          </cell>
          <cell r="L7">
            <v>11.805120336019831</v>
          </cell>
          <cell r="M7">
            <v>15</v>
          </cell>
          <cell r="N7">
            <v>93.949788646550161</v>
          </cell>
          <cell r="O7">
            <v>11.805120336019831</v>
          </cell>
          <cell r="P7">
            <v>15</v>
          </cell>
        </row>
        <row r="8">
          <cell r="G8" t="str">
            <v>IT</v>
          </cell>
          <cell r="J8">
            <v>50.743871897473262</v>
          </cell>
          <cell r="L8">
            <v>3.3792537390471304</v>
          </cell>
          <cell r="M8">
            <v>7</v>
          </cell>
          <cell r="N8">
            <v>19.702639773761568</v>
          </cell>
          <cell r="O8">
            <v>1.4482516024487702</v>
          </cell>
          <cell r="P8">
            <v>3</v>
          </cell>
        </row>
        <row r="9">
          <cell r="G9" t="str">
            <v>Communications</v>
          </cell>
          <cell r="J9">
            <v>32.007689231420279</v>
          </cell>
          <cell r="L9">
            <v>3.6466448333914707</v>
          </cell>
          <cell r="M9">
            <v>7</v>
          </cell>
          <cell r="N9">
            <v>26.704313097391065</v>
          </cell>
          <cell r="O9">
            <v>1.5628477857392018</v>
          </cell>
          <cell r="P9">
            <v>3</v>
          </cell>
        </row>
        <row r="10">
          <cell r="G10" t="str">
            <v>Other</v>
          </cell>
          <cell r="J10">
            <v>0</v>
          </cell>
          <cell r="L10">
            <v>0</v>
          </cell>
          <cell r="M10">
            <v>7</v>
          </cell>
          <cell r="N10">
            <v>5.7418013748792768E-2</v>
          </cell>
          <cell r="O10">
            <v>0</v>
          </cell>
          <cell r="P10">
            <v>7</v>
          </cell>
        </row>
        <row r="36">
          <cell r="G36" t="str">
            <v>Equity raising costs</v>
          </cell>
          <cell r="L36" t="str">
            <v>n/a</v>
          </cell>
          <cell r="M36">
            <v>13.259788397576648</v>
          </cell>
          <cell r="O36" t="str">
            <v>n/a</v>
          </cell>
          <cell r="P36">
            <v>5</v>
          </cell>
        </row>
        <row r="37">
          <cell r="J37">
            <v>380.42068453586569</v>
          </cell>
        </row>
        <row r="70">
          <cell r="G70">
            <v>0</v>
          </cell>
        </row>
        <row r="216">
          <cell r="G216">
            <v>2.5000000000000001E-2</v>
          </cell>
        </row>
        <row r="218">
          <cell r="G218">
            <v>0.4</v>
          </cell>
        </row>
        <row r="219">
          <cell r="G219">
            <v>0.6</v>
          </cell>
        </row>
        <row r="229">
          <cell r="G229">
            <v>0.7</v>
          </cell>
        </row>
        <row r="230">
          <cell r="G230">
            <v>0.03</v>
          </cell>
        </row>
        <row r="231">
          <cell r="G231">
            <v>0.01</v>
          </cell>
        </row>
        <row r="232">
          <cell r="G232">
            <v>0.3</v>
          </cell>
        </row>
        <row r="233">
          <cell r="G233">
            <v>8.3724126563770277E-4</v>
          </cell>
        </row>
      </sheetData>
      <sheetData sheetId="5">
        <row r="18">
          <cell r="G18">
            <v>6.0999999999999999E-2</v>
          </cell>
          <cell r="H18">
            <v>6.0999999999999999E-2</v>
          </cell>
          <cell r="I18">
            <v>6.0999999999999999E-2</v>
          </cell>
          <cell r="J18">
            <v>6.0999999999999999E-2</v>
          </cell>
          <cell r="K18">
            <v>6.0999999999999999E-2</v>
          </cell>
          <cell r="L18">
            <v>6.0999999999999999E-2</v>
          </cell>
          <cell r="M18">
            <v>6.0999999999999999E-2</v>
          </cell>
          <cell r="N18">
            <v>6.0999999999999999E-2</v>
          </cell>
          <cell r="O18">
            <v>6.0999999999999999E-2</v>
          </cell>
          <cell r="P18">
            <v>6.0999999999999999E-2</v>
          </cell>
        </row>
        <row r="19">
          <cell r="G19">
            <v>3.5121951219512226E-2</v>
          </cell>
          <cell r="H19">
            <v>3.5121951219512226E-2</v>
          </cell>
          <cell r="I19">
            <v>3.5121951219512226E-2</v>
          </cell>
          <cell r="J19">
            <v>3.5121951219512226E-2</v>
          </cell>
          <cell r="K19">
            <v>3.5121951219512226E-2</v>
          </cell>
          <cell r="L19">
            <v>3.5121951219512226E-2</v>
          </cell>
          <cell r="M19">
            <v>3.5121951219512226E-2</v>
          </cell>
          <cell r="N19">
            <v>3.5121951219512226E-2</v>
          </cell>
          <cell r="O19">
            <v>3.5121951219512226E-2</v>
          </cell>
          <cell r="P19">
            <v>3.5121951219512226E-2</v>
          </cell>
        </row>
      </sheetData>
      <sheetData sheetId="6"/>
      <sheetData sheetId="7"/>
      <sheetData sheetId="8"/>
      <sheetData sheetId="9">
        <row r="47">
          <cell r="G47">
            <v>0.44530837223859016</v>
          </cell>
          <cell r="H47">
            <v>6.3977054357496829E-2</v>
          </cell>
          <cell r="I47">
            <v>6.3977054357496829E-2</v>
          </cell>
          <cell r="J47">
            <v>6.3977054357496829E-2</v>
          </cell>
          <cell r="K47">
            <v>6.3977054357496829E-2</v>
          </cell>
          <cell r="L47">
            <v>6.3977054357496829E-2</v>
          </cell>
          <cell r="M47">
            <v>6.3977054357496829E-2</v>
          </cell>
          <cell r="N47">
            <v>6.3977054357496829E-2</v>
          </cell>
          <cell r="O47">
            <v>6.3977054357496829E-2</v>
          </cell>
          <cell r="P47">
            <v>6.3977054357496829E-2</v>
          </cell>
        </row>
        <row r="63">
          <cell r="G63">
            <v>0.43459527887949401</v>
          </cell>
          <cell r="H63">
            <v>4.5395552769923783E-2</v>
          </cell>
          <cell r="I63">
            <v>4.5395552769923783E-2</v>
          </cell>
          <cell r="J63">
            <v>4.5395552769923783E-2</v>
          </cell>
          <cell r="K63">
            <v>4.5395552769923783E-2</v>
          </cell>
          <cell r="L63">
            <v>4.5395552769923783E-2</v>
          </cell>
          <cell r="M63">
            <v>4.5395552769923783E-2</v>
          </cell>
          <cell r="N63">
            <v>4.5395552769923783E-2</v>
          </cell>
          <cell r="O63">
            <v>4.5395552769923783E-2</v>
          </cell>
          <cell r="P63">
            <v>4.5395552769923783E-2</v>
          </cell>
        </row>
        <row r="83">
          <cell r="G83">
            <v>-5.6595758238545235E-2</v>
          </cell>
          <cell r="H83">
            <v>1.4466932213505958E-2</v>
          </cell>
          <cell r="I83">
            <v>-3.8545140022410761E-3</v>
          </cell>
          <cell r="J83">
            <v>-3.8545140022410761E-3</v>
          </cell>
          <cell r="K83">
            <v>-3.8545140022410761E-3</v>
          </cell>
          <cell r="L83">
            <v>-3.8545140022410761E-3</v>
          </cell>
          <cell r="M83">
            <v>-3.8545140022410761E-3</v>
          </cell>
          <cell r="N83">
            <v>-3.8545140022410761E-3</v>
          </cell>
          <cell r="O83">
            <v>-3.8545140022410761E-3</v>
          </cell>
          <cell r="P83">
            <v>-3.8545140022410761E-3</v>
          </cell>
        </row>
      </sheetData>
      <sheetData sheetId="10"/>
      <sheetData sheetId="11">
        <row r="54">
          <cell r="Q54">
            <v>0</v>
          </cell>
        </row>
      </sheetData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"/>
      <sheetName val="Input_SC"/>
      <sheetName val="GA"/>
      <sheetName val="Data IMRO"/>
      <sheetName val="Data AMI"/>
      <sheetName val="CPI"/>
      <sheetName val="Forecast costs "/>
      <sheetName val="2016-20 AMI RFM"/>
      <sheetName val="Output sheet for AMI model"/>
      <sheetName val="AMI_SC"/>
      <sheetName val="Analysis"/>
      <sheetName val="AMI BB"/>
      <sheetName val="AMI RFM"/>
      <sheetName val="IMRO_SC"/>
      <sheetName val="IMRO BB"/>
      <sheetName val="IMRO Decision 2006-10"/>
      <sheetName val="ChargeToTemplate"/>
      <sheetName val="LU"/>
    </sheetNames>
    <sheetDataSet>
      <sheetData sheetId="0"/>
      <sheetData sheetId="1"/>
      <sheetData sheetId="2"/>
      <sheetData sheetId="3"/>
      <sheetData sheetId="4">
        <row r="34">
          <cell r="M34">
            <v>38190492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Nominal"/>
      <sheetName val="CROIC criteria"/>
      <sheetName val="CY14-CY16 Excess expenditure"/>
      <sheetName val="CY14 Excess expenditure"/>
      <sheetName val="CY14 credible &amp; contentious"/>
      <sheetName val="CY14 Excess expenditure (Deloit"/>
      <sheetName val="CY15 Excess expenditure"/>
      <sheetName val="CY15 credible &amp; contentious"/>
      <sheetName val="CY16 vs CY15"/>
      <sheetName val="Comparison to EDPR submission"/>
      <sheetName val="Summary Life of Program"/>
      <sheetName val="Credible claim"/>
      <sheetName val="Program forecast"/>
      <sheetName val="Shortf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5">
          <cell r="C55">
            <v>48.286146678493864</v>
          </cell>
        </row>
      </sheetData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09-CY14"/>
      <sheetName val="Opex CY15-CY20"/>
      <sheetName val="Capex CY15-CY20"/>
      <sheetName val="Real $15"/>
      <sheetName val="v300315 (EDPR)"/>
      <sheetName val="Summary"/>
      <sheetName val="Sheet2"/>
      <sheetName val="Sheet1"/>
    </sheetNames>
    <sheetDataSet>
      <sheetData sheetId="0" refreshError="1">
        <row r="128">
          <cell r="B128">
            <v>50772.765555555598</v>
          </cell>
          <cell r="C128">
            <v>7047278.3300000001</v>
          </cell>
          <cell r="D128">
            <v>3248750.7299999995</v>
          </cell>
          <cell r="E128">
            <v>0</v>
          </cell>
          <cell r="F128">
            <v>996023.1</v>
          </cell>
          <cell r="G128">
            <v>7229144.5879083965</v>
          </cell>
        </row>
        <row r="135">
          <cell r="B135">
            <v>26405883.586308796</v>
          </cell>
          <cell r="C135">
            <v>31780123.293737561</v>
          </cell>
          <cell r="D135">
            <v>19983321.2180361</v>
          </cell>
          <cell r="E135">
            <v>24642546.559058473</v>
          </cell>
          <cell r="F135">
            <v>8040436.9667708892</v>
          </cell>
          <cell r="G135">
            <v>10463404.564366683</v>
          </cell>
        </row>
        <row r="136">
          <cell r="B136">
            <v>888555.09</v>
          </cell>
          <cell r="C136">
            <v>8756866.3000000007</v>
          </cell>
          <cell r="D136">
            <v>8959364.2199999988</v>
          </cell>
          <cell r="E136">
            <v>24833830.630000003</v>
          </cell>
          <cell r="F136">
            <v>18817796.080000002</v>
          </cell>
          <cell r="G136">
            <v>4477818.5327962134</v>
          </cell>
        </row>
      </sheetData>
      <sheetData sheetId="1" refreshError="1"/>
      <sheetData sheetId="2" refreshError="1"/>
      <sheetData sheetId="3" refreshError="1"/>
      <sheetData sheetId="4">
        <row r="95">
          <cell r="B95">
            <v>38190492.013091758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ummary"/>
      <sheetName val="Summary (2)"/>
      <sheetName val="Calc"/>
      <sheetName val="Vol special meter read"/>
      <sheetName val="LG Invoices list"/>
      <sheetName val="Meter replacement volume"/>
      <sheetName val="New connections"/>
      <sheetName val="IT &amp; Comms opex revised"/>
      <sheetName val="IT &amp; Comms opex"/>
      <sheetName val="Meter data management"/>
      <sheetName val="Meter Reading"/>
      <sheetName val="SUMMARY MR"/>
      <sheetName val="Actuals + Forecasts"/>
      <sheetName val="Resources"/>
      <sheetName val="MCFO Work (2)"/>
      <sheetName val="MCFO Work"/>
      <sheetName val="Meter Asset Management"/>
      <sheetName val="Sheet1"/>
      <sheetName val="Sheet2"/>
    </sheetNames>
    <sheetDataSet>
      <sheetData sheetId="0"/>
      <sheetData sheetId="1"/>
      <sheetData sheetId="2"/>
      <sheetData sheetId="3">
        <row r="49">
          <cell r="D49">
            <v>29166.666666666668</v>
          </cell>
        </row>
        <row r="51">
          <cell r="D51">
            <v>7465532.1699746903</v>
          </cell>
        </row>
        <row r="58">
          <cell r="D58">
            <v>61.2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Workings"/>
      <sheetName val="Marissa"/>
      <sheetName val="Antennas"/>
      <sheetName val="Dec 11 stock"/>
      <sheetName val="112 156"/>
      <sheetName val="LG Invoices lis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2009"/>
      <sheetName val="2010"/>
      <sheetName val="2011"/>
      <sheetName val="2012"/>
      <sheetName val="2013"/>
      <sheetName val="2014"/>
      <sheetName val="Mvmt inventory"/>
    </sheetNames>
    <sheetDataSet>
      <sheetData sheetId="0">
        <row r="4">
          <cell r="H4">
            <v>680170.00648958306</v>
          </cell>
        </row>
        <row r="5">
          <cell r="H5">
            <v>1218009.5564558199</v>
          </cell>
        </row>
        <row r="6">
          <cell r="H6">
            <v>42380.444918076464</v>
          </cell>
        </row>
        <row r="7">
          <cell r="H7">
            <v>811141.0766560398</v>
          </cell>
        </row>
        <row r="8">
          <cell r="H8">
            <v>56966.461612718384</v>
          </cell>
        </row>
        <row r="10">
          <cell r="H10">
            <v>1724591.7671334452</v>
          </cell>
        </row>
        <row r="14">
          <cell r="H14">
            <v>251160</v>
          </cell>
        </row>
        <row r="15">
          <cell r="H15">
            <v>666218</v>
          </cell>
        </row>
        <row r="16">
          <cell r="H16">
            <v>96600</v>
          </cell>
        </row>
        <row r="17">
          <cell r="H17">
            <v>558348</v>
          </cell>
        </row>
        <row r="18">
          <cell r="H18">
            <v>39606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78"/>
  <sheetViews>
    <sheetView tabSelected="1" zoomScale="80" zoomScaleNormal="80" workbookViewId="0">
      <selection activeCell="D6" sqref="D6"/>
    </sheetView>
  </sheetViews>
  <sheetFormatPr defaultColWidth="9.109375" defaultRowHeight="13.2" outlineLevelRow="1" x14ac:dyDescent="0.25"/>
  <cols>
    <col min="1" max="1" width="42.88671875" style="898" customWidth="1"/>
    <col min="2" max="2" width="16" style="898" customWidth="1"/>
    <col min="3" max="3" width="12" style="898" customWidth="1"/>
    <col min="4" max="4" width="14.88671875" style="898" customWidth="1"/>
    <col min="5" max="5" width="13.44140625" style="898" customWidth="1"/>
    <col min="6" max="6" width="13.5546875" style="898" customWidth="1"/>
    <col min="7" max="7" width="13.109375" style="898" customWidth="1"/>
    <col min="8" max="8" width="13.88671875" style="898" customWidth="1"/>
    <col min="9" max="9" width="14.5546875" style="898" customWidth="1"/>
    <col min="10" max="10" width="16.88671875" style="898" customWidth="1"/>
    <col min="11" max="11" width="15" style="898" customWidth="1"/>
    <col min="12" max="12" width="13.88671875" style="898" customWidth="1"/>
    <col min="13" max="13" width="16.44140625" style="898" customWidth="1"/>
    <col min="14" max="16384" width="9.109375" style="898"/>
  </cols>
  <sheetData>
    <row r="3" spans="1:12" x14ac:dyDescent="0.25">
      <c r="B3" s="955" t="s">
        <v>417</v>
      </c>
      <c r="C3" s="956"/>
      <c r="D3" s="956"/>
      <c r="E3" s="956"/>
      <c r="F3" s="954"/>
      <c r="H3" s="955" t="s">
        <v>418</v>
      </c>
      <c r="I3" s="957"/>
      <c r="J3" s="958"/>
    </row>
    <row r="4" spans="1:12" ht="26.4" x14ac:dyDescent="0.25">
      <c r="A4" s="899" t="s">
        <v>419</v>
      </c>
      <c r="B4" s="899" t="str">
        <f>'AMI RAB 2009-15'!A19</f>
        <v>($000 Real 2008)</v>
      </c>
      <c r="C4" s="900"/>
      <c r="D4" s="901" t="s">
        <v>420</v>
      </c>
      <c r="E4" s="902" t="s">
        <v>421</v>
      </c>
      <c r="F4" s="902" t="s">
        <v>422</v>
      </c>
      <c r="H4" s="901" t="s">
        <v>423</v>
      </c>
      <c r="I4" s="902" t="s">
        <v>424</v>
      </c>
      <c r="J4" s="902" t="s">
        <v>425</v>
      </c>
    </row>
    <row r="5" spans="1:12" x14ac:dyDescent="0.25">
      <c r="A5" s="903" t="str">
        <f>'AMI RAB 2009-15'!A38</f>
        <v>Remotely read interval meters &amp; transformers</v>
      </c>
      <c r="B5" s="904">
        <f>'AMI RAB 2009-15'!K20+'AMI RAB 2009-15'!K30+'AMI RAB 2009-15'!K40</f>
        <v>233642.16327019234</v>
      </c>
      <c r="C5" s="905"/>
      <c r="D5" s="906">
        <f>B5*$H$15/10^3*(1+$I$14)^0.5</f>
        <v>285.26171822092886</v>
      </c>
      <c r="E5" s="907">
        <f>'DNSP Data Inputs 2013-15'!C12</f>
        <v>15</v>
      </c>
      <c r="F5" s="907">
        <f>F36</f>
        <v>11.726586479243981</v>
      </c>
      <c r="H5" s="906">
        <f>'AMI Tax Depn 2009-15'!K24/10^3</f>
        <v>86.798833882556423</v>
      </c>
      <c r="I5" s="908">
        <v>15</v>
      </c>
      <c r="J5" s="907">
        <f>I5*F5/E5</f>
        <v>11.726586479243981</v>
      </c>
      <c r="L5" s="909"/>
    </row>
    <row r="6" spans="1:12" x14ac:dyDescent="0.25">
      <c r="A6" s="910" t="str">
        <f>'AMI RAB 2009-15'!A48</f>
        <v>IT</v>
      </c>
      <c r="B6" s="904">
        <f>'AMI RAB 2009-15'!K50</f>
        <v>77265.022960874208</v>
      </c>
      <c r="C6" s="905"/>
      <c r="D6" s="906">
        <f>B6*$H$15/10^3*(1+$I$14)^0.5</f>
        <v>94.335512476443569</v>
      </c>
      <c r="E6" s="907">
        <f>'DNSP Data Inputs 2013-15'!C13</f>
        <v>7</v>
      </c>
      <c r="F6" s="907">
        <f>F50</f>
        <v>4.7547305998213627</v>
      </c>
      <c r="H6" s="906">
        <f>'AMI Tax Depn 2009-15'!K36/10^3</f>
        <v>55.157016105078711</v>
      </c>
      <c r="I6" s="908">
        <v>3</v>
      </c>
      <c r="J6" s="907">
        <f t="shared" ref="J6:J8" si="0">I6*F6/E6</f>
        <v>2.0377416856377271</v>
      </c>
      <c r="L6" s="909"/>
    </row>
    <row r="7" spans="1:12" x14ac:dyDescent="0.25">
      <c r="A7" s="910" t="str">
        <f>'AMI RAB 2009-15'!A58</f>
        <v>Communications</v>
      </c>
      <c r="B7" s="904">
        <f>'AMI RAB 2009-15'!K60</f>
        <v>36487.681341639589</v>
      </c>
      <c r="C7" s="905"/>
      <c r="D7" s="906">
        <f>B7*$H$15/10^3*(1+$I$14)^0.5</f>
        <v>44.54905967197805</v>
      </c>
      <c r="E7" s="907">
        <f>'DNSP Data Inputs 2013-15'!C14</f>
        <v>7</v>
      </c>
      <c r="F7" s="907">
        <f>F64</f>
        <v>4.3681144100182916</v>
      </c>
      <c r="H7" s="906">
        <f>'AMI Tax Depn 2009-15'!K42/10^3</f>
        <v>38.295645221798182</v>
      </c>
      <c r="I7" s="908">
        <v>3</v>
      </c>
      <c r="J7" s="907">
        <f t="shared" si="0"/>
        <v>1.8720490328649821</v>
      </c>
      <c r="L7" s="909"/>
    </row>
    <row r="8" spans="1:12" x14ac:dyDescent="0.25">
      <c r="A8" s="910" t="str">
        <f>'AMI RAB 2009-15'!A68</f>
        <v>Other</v>
      </c>
      <c r="B8" s="904">
        <f>'AMI RAB 2009-15'!K70</f>
        <v>0</v>
      </c>
      <c r="C8" s="905"/>
      <c r="D8" s="906">
        <f>B8*$H$15/10^3*(1+$I$14)^0.5</f>
        <v>0</v>
      </c>
      <c r="E8" s="907">
        <f>'DNSP Data Inputs 2013-15'!C15</f>
        <v>7</v>
      </c>
      <c r="F8" s="907">
        <f>F78</f>
        <v>0</v>
      </c>
      <c r="H8" s="906">
        <f>'AMI Tax Depn 2009-15'!K48/10^3</f>
        <v>5.7418013748792768E-2</v>
      </c>
      <c r="I8" s="908">
        <v>7</v>
      </c>
      <c r="J8" s="907">
        <f t="shared" si="0"/>
        <v>0</v>
      </c>
      <c r="L8" s="909"/>
    </row>
    <row r="9" spans="1:12" x14ac:dyDescent="0.25">
      <c r="A9" s="911"/>
      <c r="B9" s="912">
        <f>SUM(B5:B8)</f>
        <v>347394.86757270613</v>
      </c>
      <c r="C9" s="913"/>
      <c r="D9" s="914">
        <f>SUM(D5:D8)</f>
        <v>424.14629036935048</v>
      </c>
      <c r="E9" s="911"/>
      <c r="F9" s="911"/>
      <c r="H9" s="914">
        <f>SUM(H5:H8)</f>
        <v>180.30891322318209</v>
      </c>
      <c r="I9" s="911"/>
      <c r="J9" s="911"/>
    </row>
    <row r="12" spans="1:12" x14ac:dyDescent="0.25">
      <c r="A12" s="793"/>
      <c r="B12" s="717">
        <f>'Data 2009-15 (Real $2008)'!D142</f>
        <v>2009</v>
      </c>
      <c r="C12" s="887">
        <f>'Data 2009-15 (Real $2008)'!E142</f>
        <v>2010</v>
      </c>
      <c r="D12" s="887">
        <f>'Data 2009-15 (Real $2008)'!F142</f>
        <v>2011</v>
      </c>
      <c r="E12" s="887">
        <f>'Data 2009-15 (Real $2008)'!G142</f>
        <v>2012</v>
      </c>
      <c r="F12" s="887">
        <f>'Data 2009-15 (Real $2008)'!H142</f>
        <v>2013</v>
      </c>
      <c r="G12" s="887">
        <f>'Data 2009-15 (Real $2008)'!I142</f>
        <v>2014</v>
      </c>
      <c r="H12" s="888">
        <f>'Data 2009-15 (Real $2008)'!J142</f>
        <v>2015</v>
      </c>
      <c r="I12" s="915">
        <v>2016</v>
      </c>
    </row>
    <row r="13" spans="1:12" x14ac:dyDescent="0.25">
      <c r="A13" s="43" t="s">
        <v>86</v>
      </c>
      <c r="B13" s="566" t="str">
        <f>'Data 2009-15 (Real $2008)'!D143</f>
        <v>Actual</v>
      </c>
      <c r="C13" s="685" t="str">
        <f>'Data 2009-15 (Real $2008)'!E143</f>
        <v>Actual</v>
      </c>
      <c r="D13" s="685" t="str">
        <f>'Data 2009-15 (Real $2008)'!F143</f>
        <v>Actual</v>
      </c>
      <c r="E13" s="685" t="str">
        <f>'Data 2009-15 (Real $2008)'!G143</f>
        <v>Actual</v>
      </c>
      <c r="F13" s="685" t="str">
        <f>'Data 2009-15 (Real $2008)'!H143</f>
        <v>Actual</v>
      </c>
      <c r="G13" s="685" t="str">
        <f>'Data 2009-15 (Real $2008)'!I143</f>
        <v>Actual</v>
      </c>
      <c r="H13" s="916" t="str">
        <f>'Data 2009-15 (Real $2008)'!J143</f>
        <v>Actual</v>
      </c>
      <c r="I13" s="915" t="s">
        <v>18</v>
      </c>
    </row>
    <row r="14" spans="1:12" x14ac:dyDescent="0.25">
      <c r="A14" s="793" t="s">
        <v>87</v>
      </c>
      <c r="B14" s="917">
        <f>'Data 2009-15 (Real $2008)'!D144</f>
        <v>4.9810844892812067E-2</v>
      </c>
      <c r="C14" s="799">
        <f>'Data 2009-15 (Real $2008)'!E144</f>
        <v>1.2612612612612484E-2</v>
      </c>
      <c r="D14" s="799">
        <f>'Data 2009-15 (Real $2008)'!F144</f>
        <v>2.7876631079478242E-2</v>
      </c>
      <c r="E14" s="799">
        <f>'Data 2009-15 (Real $2008)'!G144</f>
        <v>3.5199076745527913E-2</v>
      </c>
      <c r="F14" s="799">
        <f>'Data 2009-15 (Real $2008)'!H144</f>
        <v>2.0040080160320661E-2</v>
      </c>
      <c r="G14" s="799">
        <f>'Data 2009-15 (Real $2008)'!I144</f>
        <v>2.16110019646365E-2</v>
      </c>
      <c r="H14" s="918">
        <f>'Data 2009-15 (Real $2008)'!J144</f>
        <v>2.3076923076923217E-2</v>
      </c>
      <c r="I14" s="919">
        <v>2.5000000000000001E-2</v>
      </c>
    </row>
    <row r="15" spans="1:12" x14ac:dyDescent="0.25">
      <c r="A15" s="793" t="s">
        <v>36</v>
      </c>
      <c r="B15" s="920">
        <f>1+B14</f>
        <v>1.0498108448928121</v>
      </c>
      <c r="C15" s="921">
        <f t="shared" ref="C15:H15" si="1">B15*(1+C14)</f>
        <v>1.0630517023959645</v>
      </c>
      <c r="D15" s="921">
        <f t="shared" si="1"/>
        <v>1.0926860025220682</v>
      </c>
      <c r="E15" s="921">
        <f t="shared" si="1"/>
        <v>1.1311475409836065</v>
      </c>
      <c r="F15" s="921">
        <f t="shared" si="1"/>
        <v>1.1538158283780675</v>
      </c>
      <c r="G15" s="921">
        <f t="shared" si="1"/>
        <v>1.1787509445119746</v>
      </c>
      <c r="H15" s="922">
        <f t="shared" si="1"/>
        <v>1.205952889385328</v>
      </c>
      <c r="I15" s="923"/>
    </row>
    <row r="18" spans="1:7" x14ac:dyDescent="0.25">
      <c r="A18" s="924" t="s">
        <v>426</v>
      </c>
    </row>
    <row r="19" spans="1:7" x14ac:dyDescent="0.25">
      <c r="A19" s="925" t="s">
        <v>423</v>
      </c>
      <c r="B19" s="926">
        <v>2016</v>
      </c>
    </row>
    <row r="20" spans="1:7" x14ac:dyDescent="0.25">
      <c r="A20" s="898" t="str">
        <f>'AMI Building Blocks 2009-15'!A56</f>
        <v>Tax losses brought forward</v>
      </c>
      <c r="B20" s="927">
        <f>'AMI Building Blocks 2009-15'!J57/10^3</f>
        <v>-169.20793562057256</v>
      </c>
    </row>
    <row r="23" spans="1:7" x14ac:dyDescent="0.25">
      <c r="A23" s="924" t="s">
        <v>427</v>
      </c>
    </row>
    <row r="24" spans="1:7" x14ac:dyDescent="0.25">
      <c r="A24" s="928" t="s">
        <v>0</v>
      </c>
      <c r="B24" s="929">
        <f>SUM(G36,G50,G64,G78)</f>
        <v>7.2759576141834259E-11</v>
      </c>
    </row>
    <row r="25" spans="1:7" x14ac:dyDescent="0.25">
      <c r="A25" s="930" t="str">
        <f>A5</f>
        <v>Remotely read interval meters &amp; transformers</v>
      </c>
    </row>
    <row r="26" spans="1:7" x14ac:dyDescent="0.25">
      <c r="A26" s="898" t="s">
        <v>421</v>
      </c>
      <c r="B26" s="931">
        <f>E5</f>
        <v>15</v>
      </c>
      <c r="D26" s="953" t="s">
        <v>289</v>
      </c>
      <c r="E26" s="954"/>
    </row>
    <row r="27" spans="1:7" x14ac:dyDescent="0.25">
      <c r="B27" s="932"/>
      <c r="C27" s="903"/>
      <c r="D27" s="933"/>
      <c r="E27" s="934" t="s">
        <v>428</v>
      </c>
      <c r="F27" s="935" t="s">
        <v>429</v>
      </c>
      <c r="G27" s="903"/>
    </row>
    <row r="28" spans="1:7" x14ac:dyDescent="0.25">
      <c r="B28" s="936" t="s">
        <v>280</v>
      </c>
      <c r="C28" s="937" t="s">
        <v>430</v>
      </c>
      <c r="D28" s="938" t="s">
        <v>319</v>
      </c>
      <c r="E28" s="939" t="s">
        <v>431</v>
      </c>
      <c r="F28" s="937" t="s">
        <v>422</v>
      </c>
      <c r="G28" s="940" t="s">
        <v>0</v>
      </c>
    </row>
    <row r="29" spans="1:7" hidden="1" outlineLevel="1" x14ac:dyDescent="0.25">
      <c r="B29" s="941">
        <v>2009</v>
      </c>
      <c r="C29" s="942">
        <f t="shared" ref="C29:C33" si="2">C30+1</f>
        <v>6.5</v>
      </c>
      <c r="D29" s="943">
        <f>'AMI RAB 2009-15'!B215</f>
        <v>1159.830216960961</v>
      </c>
      <c r="E29" s="944">
        <f>D29*F29/B26</f>
        <v>657.23712294454458</v>
      </c>
      <c r="F29" s="945">
        <f>B26-C29</f>
        <v>8.5</v>
      </c>
      <c r="G29" s="910"/>
    </row>
    <row r="30" spans="1:7" hidden="1" outlineLevel="1" x14ac:dyDescent="0.25">
      <c r="B30" s="941">
        <f>B29+1</f>
        <v>2010</v>
      </c>
      <c r="C30" s="942">
        <f t="shared" si="2"/>
        <v>5.5</v>
      </c>
      <c r="D30" s="943">
        <f>'AMI RAB 2009-15'!E$41</f>
        <v>27930.710455013079</v>
      </c>
      <c r="E30" s="944">
        <f>D30*F30/B26</f>
        <v>17689.449954841617</v>
      </c>
      <c r="F30" s="945">
        <f>B26-C30</f>
        <v>9.5</v>
      </c>
      <c r="G30" s="910"/>
    </row>
    <row r="31" spans="1:7" hidden="1" outlineLevel="1" x14ac:dyDescent="0.25">
      <c r="B31" s="941">
        <f t="shared" ref="B31:B35" si="3">B30+1</f>
        <v>2011</v>
      </c>
      <c r="C31" s="942">
        <f t="shared" si="2"/>
        <v>4.5</v>
      </c>
      <c r="D31" s="943">
        <f>'AMI RAB 2009-15'!F$41</f>
        <v>73445.619157530295</v>
      </c>
      <c r="E31" s="944">
        <f>D31*F31/B26</f>
        <v>51411.933410271202</v>
      </c>
      <c r="F31" s="945">
        <f>B26-C31</f>
        <v>10.5</v>
      </c>
      <c r="G31" s="910"/>
    </row>
    <row r="32" spans="1:7" hidden="1" outlineLevel="1" x14ac:dyDescent="0.25">
      <c r="B32" s="941">
        <f t="shared" si="3"/>
        <v>2012</v>
      </c>
      <c r="C32" s="942">
        <f t="shared" si="2"/>
        <v>3.5</v>
      </c>
      <c r="D32" s="943">
        <f>'AMI RAB 2009-15'!G$41</f>
        <v>80111.884399314353</v>
      </c>
      <c r="E32" s="944">
        <f>D32*F32/B26</f>
        <v>61419.111372807667</v>
      </c>
      <c r="F32" s="945">
        <f>B26-C32</f>
        <v>11.5</v>
      </c>
      <c r="G32" s="910"/>
    </row>
    <row r="33" spans="1:7" hidden="1" outlineLevel="1" x14ac:dyDescent="0.25">
      <c r="B33" s="941">
        <f t="shared" si="3"/>
        <v>2013</v>
      </c>
      <c r="C33" s="942">
        <f t="shared" si="2"/>
        <v>2.5</v>
      </c>
      <c r="D33" s="943">
        <f>'AMI RAB 2009-15'!H$41</f>
        <v>81918.832412679607</v>
      </c>
      <c r="E33" s="944">
        <f>D33*F33/B26</f>
        <v>68265.693677233008</v>
      </c>
      <c r="F33" s="945">
        <f>B26-C33</f>
        <v>12.5</v>
      </c>
      <c r="G33" s="910"/>
    </row>
    <row r="34" spans="1:7" hidden="1" outlineLevel="1" x14ac:dyDescent="0.25">
      <c r="B34" s="941">
        <f t="shared" si="3"/>
        <v>2014</v>
      </c>
      <c r="C34" s="942">
        <f>C35+1</f>
        <v>1.5</v>
      </c>
      <c r="D34" s="943">
        <f>'AMI RAB 2009-15'!I$41</f>
        <v>32399.118895986627</v>
      </c>
      <c r="E34" s="944">
        <f>D34*F34/B26</f>
        <v>29159.207006387962</v>
      </c>
      <c r="F34" s="945">
        <f>B26-C34</f>
        <v>13.5</v>
      </c>
      <c r="G34" s="910"/>
    </row>
    <row r="35" spans="1:7" hidden="1" outlineLevel="1" x14ac:dyDescent="0.25">
      <c r="B35" s="941">
        <f t="shared" si="3"/>
        <v>2015</v>
      </c>
      <c r="C35" s="942">
        <v>0.5</v>
      </c>
      <c r="D35" s="943">
        <f>'AMI RAB 2009-15'!J$41</f>
        <v>5213.3076472824459</v>
      </c>
      <c r="E35" s="944">
        <f>D35*F35/B26</f>
        <v>5039.530725706365</v>
      </c>
      <c r="F35" s="945">
        <f>B26-C35</f>
        <v>14.5</v>
      </c>
      <c r="G35" s="910"/>
    </row>
    <row r="36" spans="1:7" collapsed="1" x14ac:dyDescent="0.25">
      <c r="B36" s="946"/>
      <c r="C36" s="911"/>
      <c r="D36" s="947"/>
      <c r="E36" s="948">
        <f>SUM(E29:E35)</f>
        <v>233642.16327019237</v>
      </c>
      <c r="F36" s="949">
        <f>IF(E36=0,0,SUMPRODUCT(F29:F35,E29:E35)/E36)</f>
        <v>11.726586479243981</v>
      </c>
      <c r="G36" s="950">
        <f>ABS(B5-E36)</f>
        <v>2.9103830456733704E-11</v>
      </c>
    </row>
    <row r="37" spans="1:7" x14ac:dyDescent="0.25">
      <c r="B37" s="951"/>
    </row>
    <row r="38" spans="1:7" x14ac:dyDescent="0.25">
      <c r="B38" s="951"/>
    </row>
    <row r="39" spans="1:7" x14ac:dyDescent="0.25">
      <c r="A39" s="898" t="str">
        <f>A6</f>
        <v>IT</v>
      </c>
    </row>
    <row r="40" spans="1:7" x14ac:dyDescent="0.25">
      <c r="A40" s="898" t="s">
        <v>421</v>
      </c>
      <c r="B40" s="931">
        <f>E6</f>
        <v>7</v>
      </c>
      <c r="D40" s="953" t="s">
        <v>289</v>
      </c>
      <c r="E40" s="954"/>
    </row>
    <row r="41" spans="1:7" x14ac:dyDescent="0.25">
      <c r="B41" s="932"/>
      <c r="C41" s="903"/>
      <c r="D41" s="933"/>
      <c r="E41" s="934" t="s">
        <v>428</v>
      </c>
      <c r="F41" s="935" t="s">
        <v>429</v>
      </c>
      <c r="G41" s="903"/>
    </row>
    <row r="42" spans="1:7" x14ac:dyDescent="0.25">
      <c r="B42" s="936" t="s">
        <v>280</v>
      </c>
      <c r="C42" s="937" t="s">
        <v>430</v>
      </c>
      <c r="D42" s="938" t="s">
        <v>319</v>
      </c>
      <c r="E42" s="939" t="s">
        <v>431</v>
      </c>
      <c r="F42" s="937" t="s">
        <v>422</v>
      </c>
      <c r="G42" s="940" t="s">
        <v>0</v>
      </c>
    </row>
    <row r="43" spans="1:7" hidden="1" outlineLevel="1" x14ac:dyDescent="0.25">
      <c r="B43" s="941">
        <v>2009</v>
      </c>
      <c r="C43" s="942">
        <f t="shared" ref="C43:C47" si="4">C44+1</f>
        <v>6.5</v>
      </c>
      <c r="D43" s="943">
        <f>'AMI RAB 2009-15'!B227</f>
        <v>25201.355539974094</v>
      </c>
      <c r="E43" s="944">
        <f>D43*F43/B40</f>
        <v>1800.096824283864</v>
      </c>
      <c r="F43" s="945">
        <f>B40-C43</f>
        <v>0.5</v>
      </c>
      <c r="G43" s="910"/>
    </row>
    <row r="44" spans="1:7" hidden="1" outlineLevel="1" x14ac:dyDescent="0.25">
      <c r="B44" s="941">
        <f>B43+1</f>
        <v>2010</v>
      </c>
      <c r="C44" s="942">
        <f t="shared" si="4"/>
        <v>5.5</v>
      </c>
      <c r="D44" s="943">
        <f>'AMI RAB 2009-15'!B228</f>
        <v>36524.471515568075</v>
      </c>
      <c r="E44" s="944">
        <f>D44*F44/B40</f>
        <v>7826.67246762173</v>
      </c>
      <c r="F44" s="945">
        <f>B40-C44</f>
        <v>1.5</v>
      </c>
      <c r="G44" s="910"/>
    </row>
    <row r="45" spans="1:7" hidden="1" outlineLevel="1" x14ac:dyDescent="0.25">
      <c r="B45" s="941">
        <f t="shared" ref="B45:B49" si="5">B44+1</f>
        <v>2011</v>
      </c>
      <c r="C45" s="942">
        <f t="shared" si="4"/>
        <v>4.5</v>
      </c>
      <c r="D45" s="943">
        <f>'AMI RAB 2009-15'!B229</f>
        <v>21261.434569870315</v>
      </c>
      <c r="E45" s="944">
        <f>D45*F45/B40</f>
        <v>7593.3694892393978</v>
      </c>
      <c r="F45" s="945">
        <f>B40-C45</f>
        <v>2.5</v>
      </c>
      <c r="G45" s="910"/>
    </row>
    <row r="46" spans="1:7" hidden="1" outlineLevel="1" x14ac:dyDescent="0.25">
      <c r="B46" s="941">
        <f t="shared" si="5"/>
        <v>2012</v>
      </c>
      <c r="C46" s="942">
        <f t="shared" si="4"/>
        <v>3.5</v>
      </c>
      <c r="D46" s="943">
        <f>'AMI RAB 2009-15'!B230</f>
        <v>21785.439711631407</v>
      </c>
      <c r="E46" s="944">
        <f>D46*F46/B40</f>
        <v>10892.719855815705</v>
      </c>
      <c r="F46" s="945">
        <f>B40-C46</f>
        <v>3.5</v>
      </c>
      <c r="G46" s="910"/>
    </row>
    <row r="47" spans="1:7" hidden="1" outlineLevel="1" x14ac:dyDescent="0.25">
      <c r="B47" s="941">
        <f t="shared" si="5"/>
        <v>2013</v>
      </c>
      <c r="C47" s="942">
        <f t="shared" si="4"/>
        <v>2.5</v>
      </c>
      <c r="D47" s="943">
        <f>'AMI RAB 2009-15'!B231</f>
        <v>7831.8045605887964</v>
      </c>
      <c r="E47" s="944">
        <f>D47*F47/B40</f>
        <v>5034.7315032356546</v>
      </c>
      <c r="F47" s="945">
        <f>B40-C47</f>
        <v>4.5</v>
      </c>
      <c r="G47" s="910"/>
    </row>
    <row r="48" spans="1:7" hidden="1" outlineLevel="1" x14ac:dyDescent="0.25">
      <c r="B48" s="941">
        <f t="shared" si="5"/>
        <v>2014</v>
      </c>
      <c r="C48" s="942">
        <f>C49+1</f>
        <v>1.5</v>
      </c>
      <c r="D48" s="943">
        <f>'AMI RAB 2009-15'!B232</f>
        <v>15009.573680214638</v>
      </c>
      <c r="E48" s="944">
        <f>D48*F48/B40</f>
        <v>11793.236463025789</v>
      </c>
      <c r="F48" s="945">
        <f>B40-C48</f>
        <v>5.5</v>
      </c>
      <c r="G48" s="910"/>
    </row>
    <row r="49" spans="1:7" hidden="1" outlineLevel="1" x14ac:dyDescent="0.25">
      <c r="B49" s="941">
        <f t="shared" si="5"/>
        <v>2015</v>
      </c>
      <c r="C49" s="942">
        <v>0.5</v>
      </c>
      <c r="D49" s="943">
        <f>'AMI RAB 2009-15'!B233</f>
        <v>34810.673000548355</v>
      </c>
      <c r="E49" s="944">
        <f>D49*F49/B40</f>
        <v>32324.196357652047</v>
      </c>
      <c r="F49" s="945">
        <f>B40-C49</f>
        <v>6.5</v>
      </c>
      <c r="G49" s="910"/>
    </row>
    <row r="50" spans="1:7" collapsed="1" x14ac:dyDescent="0.25">
      <c r="B50" s="946"/>
      <c r="C50" s="911"/>
      <c r="D50" s="947"/>
      <c r="E50" s="948">
        <f>SUM(E43:E49)</f>
        <v>77265.022960874179</v>
      </c>
      <c r="F50" s="949">
        <f>IF(E50=0,0,SUMPRODUCT(F43:F49,E43:E49)/E50)</f>
        <v>4.7547305998213627</v>
      </c>
      <c r="G50" s="950">
        <f>ABS(B6-E50)</f>
        <v>2.9103830456733704E-11</v>
      </c>
    </row>
    <row r="53" spans="1:7" x14ac:dyDescent="0.25">
      <c r="A53" s="898" t="str">
        <f>A7</f>
        <v>Communications</v>
      </c>
    </row>
    <row r="54" spans="1:7" x14ac:dyDescent="0.25">
      <c r="A54" s="898" t="s">
        <v>421</v>
      </c>
      <c r="B54" s="931">
        <f>E7</f>
        <v>7</v>
      </c>
      <c r="D54" s="953" t="s">
        <v>289</v>
      </c>
      <c r="E54" s="954"/>
    </row>
    <row r="55" spans="1:7" x14ac:dyDescent="0.25">
      <c r="B55" s="932"/>
      <c r="C55" s="903"/>
      <c r="D55" s="933"/>
      <c r="E55" s="934" t="s">
        <v>428</v>
      </c>
      <c r="F55" s="935" t="s">
        <v>429</v>
      </c>
      <c r="G55" s="903"/>
    </row>
    <row r="56" spans="1:7" x14ac:dyDescent="0.25">
      <c r="B56" s="936" t="s">
        <v>280</v>
      </c>
      <c r="C56" s="937" t="s">
        <v>430</v>
      </c>
      <c r="D56" s="938" t="s">
        <v>319</v>
      </c>
      <c r="E56" s="939" t="s">
        <v>431</v>
      </c>
      <c r="F56" s="937" t="s">
        <v>422</v>
      </c>
      <c r="G56" s="940" t="s">
        <v>0</v>
      </c>
    </row>
    <row r="57" spans="1:7" hidden="1" outlineLevel="1" x14ac:dyDescent="0.25">
      <c r="B57" s="941">
        <v>2009</v>
      </c>
      <c r="C57" s="942">
        <f t="shared" ref="C57:C61" si="6">C58+1</f>
        <v>6.5</v>
      </c>
      <c r="D57" s="943">
        <f>'AMI RAB 2009-15'!B239</f>
        <v>846.39541906306306</v>
      </c>
      <c r="E57" s="944">
        <f>D57*F57/B54</f>
        <v>60.456815647361644</v>
      </c>
      <c r="F57" s="945">
        <f>B54-C57</f>
        <v>0.5</v>
      </c>
      <c r="G57" s="910"/>
    </row>
    <row r="58" spans="1:7" hidden="1" outlineLevel="1" x14ac:dyDescent="0.25">
      <c r="B58" s="941">
        <f>B57+1</f>
        <v>2010</v>
      </c>
      <c r="C58" s="942">
        <f t="shared" si="6"/>
        <v>5.5</v>
      </c>
      <c r="D58" s="943">
        <f>'AMI RAB 2009-15'!B240</f>
        <v>8237.4792122182698</v>
      </c>
      <c r="E58" s="944">
        <f>D58*F58/B54</f>
        <v>1765.1741169039149</v>
      </c>
      <c r="F58" s="945">
        <f>B54-C58</f>
        <v>1.5</v>
      </c>
      <c r="G58" s="910"/>
    </row>
    <row r="59" spans="1:7" hidden="1" outlineLevel="1" x14ac:dyDescent="0.25">
      <c r="B59" s="941">
        <f t="shared" ref="B59:B63" si="7">B58+1</f>
        <v>2011</v>
      </c>
      <c r="C59" s="942">
        <f t="shared" si="6"/>
        <v>4.5</v>
      </c>
      <c r="D59" s="943">
        <f>'AMI RAB 2009-15'!B241</f>
        <v>8199.3950680438538</v>
      </c>
      <c r="E59" s="944">
        <f>D59*F59/B54</f>
        <v>2928.3553814442339</v>
      </c>
      <c r="F59" s="945">
        <f>B54-C59</f>
        <v>2.5</v>
      </c>
      <c r="G59" s="910"/>
    </row>
    <row r="60" spans="1:7" hidden="1" outlineLevel="1" x14ac:dyDescent="0.25">
      <c r="B60" s="941">
        <f t="shared" si="7"/>
        <v>2012</v>
      </c>
      <c r="C60" s="942">
        <f t="shared" si="6"/>
        <v>3.5</v>
      </c>
      <c r="D60" s="943">
        <f>'AMI RAB 2009-15'!B242</f>
        <v>21954.545919275366</v>
      </c>
      <c r="E60" s="944">
        <f>D60*F60/B54</f>
        <v>10977.272959637683</v>
      </c>
      <c r="F60" s="945">
        <f>B54-C60</f>
        <v>3.5</v>
      </c>
      <c r="G60" s="910"/>
    </row>
    <row r="61" spans="1:7" hidden="1" outlineLevel="1" x14ac:dyDescent="0.25">
      <c r="B61" s="941">
        <f t="shared" si="7"/>
        <v>2013</v>
      </c>
      <c r="C61" s="942">
        <f t="shared" si="6"/>
        <v>2.5</v>
      </c>
      <c r="D61" s="943">
        <f>'AMI RAB 2009-15'!B243</f>
        <v>16309.185241853025</v>
      </c>
      <c r="E61" s="944">
        <f>D61*F61/B54</f>
        <v>10484.476226905517</v>
      </c>
      <c r="F61" s="945">
        <f>B54-C61</f>
        <v>4.5</v>
      </c>
      <c r="G61" s="910"/>
    </row>
    <row r="62" spans="1:7" hidden="1" outlineLevel="1" x14ac:dyDescent="0.25">
      <c r="B62" s="941">
        <f t="shared" si="7"/>
        <v>2014</v>
      </c>
      <c r="C62" s="942">
        <f>C63+1</f>
        <v>1.5</v>
      </c>
      <c r="D62" s="943">
        <f>'AMI RAB 2009-15'!B244</f>
        <v>3798.7825618668885</v>
      </c>
      <c r="E62" s="944">
        <f>D62*F62/B54</f>
        <v>2984.7577271811269</v>
      </c>
      <c r="F62" s="945">
        <f>B54-C62</f>
        <v>5.5</v>
      </c>
      <c r="G62" s="910"/>
    </row>
    <row r="63" spans="1:7" hidden="1" outlineLevel="1" x14ac:dyDescent="0.25">
      <c r="B63" s="941">
        <f t="shared" si="7"/>
        <v>2015</v>
      </c>
      <c r="C63" s="942">
        <v>0.5</v>
      </c>
      <c r="D63" s="943">
        <f>'AMI RAB 2009-15'!B245</f>
        <v>7847.7410457597452</v>
      </c>
      <c r="E63" s="944">
        <f>D63*F63/B54</f>
        <v>7287.188113919764</v>
      </c>
      <c r="F63" s="945">
        <f>B54-C63</f>
        <v>6.5</v>
      </c>
      <c r="G63" s="910"/>
    </row>
    <row r="64" spans="1:7" collapsed="1" x14ac:dyDescent="0.25">
      <c r="B64" s="946"/>
      <c r="C64" s="911"/>
      <c r="D64" s="947"/>
      <c r="E64" s="948">
        <f>SUM(E57:E63)</f>
        <v>36487.681341639603</v>
      </c>
      <c r="F64" s="949">
        <f>IF(E64=0,0,SUMPRODUCT(F57:F63,E57:E63)/E64)</f>
        <v>4.3681144100182916</v>
      </c>
      <c r="G64" s="950">
        <f>ABS(B7-E64)</f>
        <v>1.4551915228366852E-11</v>
      </c>
    </row>
    <row r="67" spans="1:7" x14ac:dyDescent="0.25">
      <c r="A67" s="898" t="str">
        <f>A8</f>
        <v>Other</v>
      </c>
    </row>
    <row r="68" spans="1:7" x14ac:dyDescent="0.25">
      <c r="A68" s="898" t="s">
        <v>421</v>
      </c>
      <c r="B68" s="931">
        <f>E8</f>
        <v>7</v>
      </c>
      <c r="D68" s="953" t="s">
        <v>289</v>
      </c>
      <c r="E68" s="954"/>
    </row>
    <row r="69" spans="1:7" x14ac:dyDescent="0.25">
      <c r="B69" s="932"/>
      <c r="C69" s="903"/>
      <c r="D69" s="933"/>
      <c r="E69" s="934" t="s">
        <v>428</v>
      </c>
      <c r="F69" s="935" t="s">
        <v>429</v>
      </c>
      <c r="G69" s="903"/>
    </row>
    <row r="70" spans="1:7" x14ac:dyDescent="0.25">
      <c r="B70" s="936" t="s">
        <v>280</v>
      </c>
      <c r="C70" s="937" t="s">
        <v>430</v>
      </c>
      <c r="D70" s="938" t="s">
        <v>319</v>
      </c>
      <c r="E70" s="939" t="s">
        <v>431</v>
      </c>
      <c r="F70" s="937" t="s">
        <v>422</v>
      </c>
      <c r="G70" s="940" t="s">
        <v>0</v>
      </c>
    </row>
    <row r="71" spans="1:7" hidden="1" outlineLevel="1" x14ac:dyDescent="0.25">
      <c r="B71" s="941">
        <v>2009</v>
      </c>
      <c r="C71" s="942">
        <f t="shared" ref="C71:C75" si="8">C72+1</f>
        <v>6.5</v>
      </c>
      <c r="D71" s="943">
        <f>'AMI RAB 2009-15'!B251</f>
        <v>0</v>
      </c>
      <c r="E71" s="944">
        <f>D71*F71/B68</f>
        <v>0</v>
      </c>
      <c r="F71" s="945">
        <f>B68-C71</f>
        <v>0.5</v>
      </c>
      <c r="G71" s="910"/>
    </row>
    <row r="72" spans="1:7" hidden="1" outlineLevel="1" x14ac:dyDescent="0.25">
      <c r="B72" s="941">
        <f>B71+1</f>
        <v>2010</v>
      </c>
      <c r="C72" s="942">
        <f t="shared" si="8"/>
        <v>5.5</v>
      </c>
      <c r="D72" s="943">
        <f>'AMI RAB 2009-15'!B252</f>
        <v>0</v>
      </c>
      <c r="E72" s="944">
        <f>D72*F72/B68</f>
        <v>0</v>
      </c>
      <c r="F72" s="945">
        <f>B68-C72</f>
        <v>1.5</v>
      </c>
      <c r="G72" s="910"/>
    </row>
    <row r="73" spans="1:7" hidden="1" outlineLevel="1" x14ac:dyDescent="0.25">
      <c r="B73" s="941">
        <f t="shared" ref="B73:B77" si="9">B72+1</f>
        <v>2011</v>
      </c>
      <c r="C73" s="942">
        <f t="shared" si="8"/>
        <v>4.5</v>
      </c>
      <c r="D73" s="943">
        <f>'AMI RAB 2009-15'!B253</f>
        <v>0</v>
      </c>
      <c r="E73" s="944">
        <f>D73*F73/B68</f>
        <v>0</v>
      </c>
      <c r="F73" s="945">
        <f>B68-C73</f>
        <v>2.5</v>
      </c>
      <c r="G73" s="910"/>
    </row>
    <row r="74" spans="1:7" hidden="1" outlineLevel="1" x14ac:dyDescent="0.25">
      <c r="B74" s="941">
        <f t="shared" si="9"/>
        <v>2012</v>
      </c>
      <c r="C74" s="942">
        <f t="shared" si="8"/>
        <v>3.5</v>
      </c>
      <c r="D74" s="943">
        <f>'AMI RAB 2009-15'!B254</f>
        <v>0</v>
      </c>
      <c r="E74" s="944">
        <f>D74*F74/B68</f>
        <v>0</v>
      </c>
      <c r="F74" s="945">
        <f>B68-C74</f>
        <v>3.5</v>
      </c>
      <c r="G74" s="910"/>
    </row>
    <row r="75" spans="1:7" hidden="1" outlineLevel="1" x14ac:dyDescent="0.25">
      <c r="B75" s="941">
        <f t="shared" si="9"/>
        <v>2013</v>
      </c>
      <c r="C75" s="942">
        <f t="shared" si="8"/>
        <v>2.5</v>
      </c>
      <c r="D75" s="943">
        <f>'AMI RAB 2009-15'!B255</f>
        <v>0</v>
      </c>
      <c r="E75" s="944">
        <f>D75*F75/B68</f>
        <v>0</v>
      </c>
      <c r="F75" s="945">
        <f>B68-C75</f>
        <v>4.5</v>
      </c>
      <c r="G75" s="910"/>
    </row>
    <row r="76" spans="1:7" hidden="1" outlineLevel="1" x14ac:dyDescent="0.25">
      <c r="B76" s="941">
        <f t="shared" si="9"/>
        <v>2014</v>
      </c>
      <c r="C76" s="942">
        <f>C77+1</f>
        <v>1.5</v>
      </c>
      <c r="D76" s="943">
        <f>'AMI RAB 2009-15'!B256</f>
        <v>0</v>
      </c>
      <c r="E76" s="944">
        <f>D76*F76/B68</f>
        <v>0</v>
      </c>
      <c r="F76" s="945">
        <f>B68-C76</f>
        <v>5.5</v>
      </c>
      <c r="G76" s="910"/>
    </row>
    <row r="77" spans="1:7" hidden="1" outlineLevel="1" x14ac:dyDescent="0.25">
      <c r="B77" s="941">
        <f t="shared" si="9"/>
        <v>2015</v>
      </c>
      <c r="C77" s="942">
        <v>0.5</v>
      </c>
      <c r="D77" s="943">
        <f>'AMI RAB 2009-15'!B257</f>
        <v>0</v>
      </c>
      <c r="E77" s="944">
        <f>D77*F77/B68</f>
        <v>0</v>
      </c>
      <c r="F77" s="945">
        <f>B68-C77</f>
        <v>6.5</v>
      </c>
      <c r="G77" s="910"/>
    </row>
    <row r="78" spans="1:7" collapsed="1" x14ac:dyDescent="0.25">
      <c r="B78" s="946"/>
      <c r="C78" s="911"/>
      <c r="D78" s="947"/>
      <c r="E78" s="948">
        <f>SUM(E71:E77)</f>
        <v>0</v>
      </c>
      <c r="F78" s="949">
        <f>IF(E78=0,0,SUMPRODUCT(F71:F77,E71:E77)/E78)</f>
        <v>0</v>
      </c>
      <c r="G78" s="950">
        <f>ABS(B8-E78)</f>
        <v>0</v>
      </c>
    </row>
  </sheetData>
  <mergeCells count="6">
    <mergeCell ref="D68:E68"/>
    <mergeCell ref="B3:F3"/>
    <mergeCell ref="H3:J3"/>
    <mergeCell ref="D26:E26"/>
    <mergeCell ref="D40:E40"/>
    <mergeCell ref="D54:E5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2"/>
  <sheetViews>
    <sheetView zoomScale="85" zoomScaleNormal="85" workbookViewId="0">
      <pane ySplit="1" topLeftCell="A37" activePane="bottomLeft" state="frozen"/>
      <selection pane="bottomLeft" activeCell="C57" sqref="C57"/>
    </sheetView>
  </sheetViews>
  <sheetFormatPr defaultColWidth="9.109375" defaultRowHeight="13.2" outlineLevelRow="1" x14ac:dyDescent="0.25"/>
  <cols>
    <col min="1" max="1" width="44.6640625" style="84" customWidth="1"/>
    <col min="2" max="2" width="14.33203125" style="84" customWidth="1"/>
    <col min="3" max="3" width="12.109375" style="84" customWidth="1"/>
    <col min="4" max="16" width="9" style="84" customWidth="1"/>
    <col min="17" max="16384" width="9.109375" style="84"/>
  </cols>
  <sheetData>
    <row r="1" spans="1:27" x14ac:dyDescent="0.25">
      <c r="A1" s="555" t="str">
        <f>'Data 2006-08'!$A$1</f>
        <v>SP AusNet</v>
      </c>
      <c r="B1" s="495" t="s">
        <v>0</v>
      </c>
      <c r="C1" s="496" t="str">
        <f>IF(SUM(C14,C77,C85,C129,C174)&lt;0.001,"Ok","Error")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5">
      <c r="C2" s="784">
        <f>SUM(C14,C77,C85,C129,C174)</f>
        <v>0</v>
      </c>
    </row>
    <row r="3" spans="1:27" s="461" customFormat="1" x14ac:dyDescent="0.25">
      <c r="A3" s="460" t="s">
        <v>314</v>
      </c>
      <c r="B3" s="460"/>
      <c r="C3" s="460"/>
      <c r="D3" s="84"/>
      <c r="E3" s="84"/>
      <c r="F3" s="84"/>
      <c r="G3" s="84"/>
    </row>
    <row r="4" spans="1:27" s="461" customFormat="1" x14ac:dyDescent="0.25">
      <c r="A4" s="409" t="s">
        <v>289</v>
      </c>
      <c r="B4" s="409"/>
      <c r="C4" s="409"/>
      <c r="D4" s="468">
        <f>D$1</f>
        <v>2009</v>
      </c>
      <c r="E4" s="468">
        <f t="shared" ref="E4:AA4" si="0">E$1</f>
        <v>2010</v>
      </c>
      <c r="F4" s="468">
        <f t="shared" si="0"/>
        <v>2011</v>
      </c>
      <c r="G4" s="468">
        <f t="shared" si="0"/>
        <v>2012</v>
      </c>
      <c r="H4" s="468">
        <f t="shared" si="0"/>
        <v>2013</v>
      </c>
      <c r="I4" s="468">
        <f t="shared" si="0"/>
        <v>2014</v>
      </c>
      <c r="J4" s="468">
        <f t="shared" si="0"/>
        <v>2015</v>
      </c>
      <c r="K4" s="468">
        <f t="shared" si="0"/>
        <v>2016</v>
      </c>
      <c r="L4" s="468">
        <f t="shared" si="0"/>
        <v>2017</v>
      </c>
      <c r="M4" s="468">
        <f t="shared" si="0"/>
        <v>2018</v>
      </c>
      <c r="N4" s="468">
        <f t="shared" si="0"/>
        <v>2019</v>
      </c>
      <c r="O4" s="468">
        <f t="shared" si="0"/>
        <v>2020</v>
      </c>
      <c r="P4" s="468">
        <f t="shared" si="0"/>
        <v>2021</v>
      </c>
      <c r="Q4" s="468">
        <f t="shared" si="0"/>
        <v>2022</v>
      </c>
      <c r="R4" s="468">
        <f t="shared" si="0"/>
        <v>2023</v>
      </c>
      <c r="S4" s="468">
        <f t="shared" si="0"/>
        <v>2024</v>
      </c>
      <c r="T4" s="468">
        <f t="shared" si="0"/>
        <v>2025</v>
      </c>
      <c r="U4" s="468">
        <f t="shared" si="0"/>
        <v>2026</v>
      </c>
      <c r="V4" s="468">
        <f t="shared" si="0"/>
        <v>2027</v>
      </c>
      <c r="W4" s="468">
        <f t="shared" si="0"/>
        <v>2028</v>
      </c>
      <c r="X4" s="468">
        <f t="shared" si="0"/>
        <v>2029</v>
      </c>
      <c r="Y4" s="468">
        <f t="shared" si="0"/>
        <v>2030</v>
      </c>
      <c r="Z4" s="468">
        <f t="shared" si="0"/>
        <v>2031</v>
      </c>
      <c r="AA4" s="468">
        <f t="shared" si="0"/>
        <v>2032</v>
      </c>
    </row>
    <row r="5" spans="1:27" s="461" customFormat="1" x14ac:dyDescent="0.25">
      <c r="A5" s="73" t="s">
        <v>315</v>
      </c>
      <c r="B5" s="73"/>
      <c r="C5" s="73"/>
      <c r="D5" s="82">
        <f>D82+D126</f>
        <v>35558.60899050966</v>
      </c>
      <c r="E5" s="82">
        <f>D10</f>
        <v>62524.811426724715</v>
      </c>
      <c r="F5" s="82">
        <f>E10</f>
        <v>127662.51647339763</v>
      </c>
      <c r="G5" s="82">
        <f t="shared" ref="G5:W5" si="1">F10</f>
        <v>202338.86485843119</v>
      </c>
      <c r="H5" s="82">
        <f t="shared" si="1"/>
        <v>288058.74555345753</v>
      </c>
      <c r="I5" s="82">
        <f t="shared" si="1"/>
        <v>344889.64964206854</v>
      </c>
      <c r="J5" s="82">
        <f t="shared" si="1"/>
        <v>350044.46788444236</v>
      </c>
      <c r="K5" s="82">
        <f t="shared" si="1"/>
        <v>347394.86757270613</v>
      </c>
      <c r="L5" s="82">
        <f t="shared" si="1"/>
        <v>296307.52332701348</v>
      </c>
      <c r="M5" s="82">
        <f t="shared" si="1"/>
        <v>250278.0149160939</v>
      </c>
      <c r="N5" s="82">
        <f t="shared" si="1"/>
        <v>209550.13367415295</v>
      </c>
      <c r="O5" s="82">
        <f t="shared" si="1"/>
        <v>174050.88209427064</v>
      </c>
      <c r="P5" s="82">
        <f t="shared" si="1"/>
        <v>143400.27161677036</v>
      </c>
      <c r="Q5" s="82">
        <f t="shared" si="1"/>
        <v>115817.47157102174</v>
      </c>
      <c r="R5" s="82">
        <f t="shared" si="1"/>
        <v>92625.155117300965</v>
      </c>
      <c r="S5" s="82">
        <f t="shared" si="1"/>
        <v>72479.868238316471</v>
      </c>
      <c r="T5" s="82">
        <f t="shared" si="1"/>
        <v>52373.242366564009</v>
      </c>
      <c r="U5" s="82">
        <f t="shared" si="1"/>
        <v>33236.301183877345</v>
      </c>
      <c r="V5" s="82">
        <f t="shared" si="1"/>
        <v>17478.570988275456</v>
      </c>
      <c r="W5" s="82">
        <f t="shared" si="1"/>
        <v>6839.4242445684067</v>
      </c>
      <c r="X5" s="82">
        <f>W10</f>
        <v>1601.3013945944476</v>
      </c>
      <c r="Y5" s="82">
        <f>X10</f>
        <v>173.77692157605316</v>
      </c>
      <c r="Z5" s="82">
        <f>Y10</f>
        <v>-2.8649083105847239E-11</v>
      </c>
      <c r="AA5" s="82">
        <f>Z10</f>
        <v>-2.8649083105847239E-11</v>
      </c>
    </row>
    <row r="6" spans="1:27" s="461" customFormat="1" x14ac:dyDescent="0.25">
      <c r="A6" s="73" t="s">
        <v>316</v>
      </c>
      <c r="B6" s="73"/>
      <c r="C6" s="73"/>
      <c r="D6" s="82">
        <f>'Data 2009-15 (Real $2008)'!D16/10^3</f>
        <v>36762.546886406148</v>
      </c>
      <c r="E6" s="82">
        <f>'Data 2009-15 (Real $2008)'!E16/10^3</f>
        <v>83578.328159850847</v>
      </c>
      <c r="F6" s="82">
        <f>'Data 2009-15 (Real $2008)'!F16/10^3</f>
        <v>103135.24279429039</v>
      </c>
      <c r="G6" s="82">
        <f>'Data 2009-15 (Real $2008)'!G16/10^3</f>
        <v>124509.31198456895</v>
      </c>
      <c r="H6" s="82">
        <f>'Data 2009-15 (Real $2008)'!H16/10^3</f>
        <v>106059.82221512143</v>
      </c>
      <c r="I6" s="82">
        <f>'Data 2009-15 (Real $2008)'!I16/10^3</f>
        <v>51207.475138068156</v>
      </c>
      <c r="J6" s="82">
        <f>'Data 2009-15 (Real $2008)'!J16/10^3</f>
        <v>47871.721693590545</v>
      </c>
      <c r="K6" s="482"/>
      <c r="L6" s="482"/>
      <c r="M6" s="48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</row>
    <row r="7" spans="1:27" s="461" customFormat="1" x14ac:dyDescent="0.25">
      <c r="A7" s="73" t="s">
        <v>4</v>
      </c>
      <c r="B7" s="73"/>
      <c r="C7" s="73"/>
      <c r="D7" s="82">
        <f>'Data 2009-15 (Real $2008)'!D40/10^3</f>
        <v>0</v>
      </c>
      <c r="E7" s="82">
        <f>'Data 2009-15 (Real $2008)'!E40/10^3</f>
        <v>0</v>
      </c>
      <c r="F7" s="82">
        <f>'Data 2009-15 (Real $2008)'!F40/10^3</f>
        <v>0</v>
      </c>
      <c r="G7" s="82">
        <f>'Data 2009-15 (Real $2008)'!G40/10^3</f>
        <v>0</v>
      </c>
      <c r="H7" s="82">
        <f>'Data 2009-15 (Real $2008)'!H40/10^3</f>
        <v>0</v>
      </c>
      <c r="I7" s="82">
        <f>'Data 2009-15 (Real $2008)'!I40/10^3</f>
        <v>0</v>
      </c>
      <c r="J7" s="82">
        <f>'Data 2009-15 (Real $2008)'!J40/10^3</f>
        <v>0</v>
      </c>
      <c r="K7" s="482"/>
      <c r="L7" s="482"/>
      <c r="M7" s="482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</row>
    <row r="8" spans="1:27" s="461" customFormat="1" x14ac:dyDescent="0.25">
      <c r="A8" s="84" t="s">
        <v>5</v>
      </c>
      <c r="B8" s="84"/>
      <c r="C8" s="84"/>
      <c r="D8" s="82">
        <f>'Data 2009-15 (Real $2008)'!D49/10^3</f>
        <v>0</v>
      </c>
      <c r="E8" s="82">
        <f>'Data 2009-15 (Real $2008)'!E49/10^3</f>
        <v>0</v>
      </c>
      <c r="F8" s="82">
        <f>'Data 2009-15 (Real $2008)'!F49/10^3</f>
        <v>0</v>
      </c>
      <c r="G8" s="82">
        <f>'Data 2009-15 (Real $2008)'!G49/10^3</f>
        <v>0</v>
      </c>
      <c r="H8" s="82">
        <f>'Data 2009-15 (Real $2008)'!H49/10^3</f>
        <v>0</v>
      </c>
      <c r="I8" s="82">
        <f>'Data 2009-15 (Real $2008)'!I49/10^3</f>
        <v>0</v>
      </c>
      <c r="J8" s="82">
        <f>'Data 2009-15 (Real $2008)'!J49/10^3</f>
        <v>0</v>
      </c>
      <c r="K8" s="482"/>
      <c r="L8" s="482"/>
      <c r="M8" s="48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</row>
    <row r="9" spans="1:27" s="461" customFormat="1" x14ac:dyDescent="0.25">
      <c r="A9" s="73" t="s">
        <v>137</v>
      </c>
      <c r="B9" s="73"/>
      <c r="C9" s="73"/>
      <c r="D9" s="82">
        <f>SUM(D83,D127,D172)</f>
        <v>9796.3444501911017</v>
      </c>
      <c r="E9" s="82">
        <f t="shared" ref="E9:W9" si="2">SUM(E83,E127,E172)</f>
        <v>18440.623113177931</v>
      </c>
      <c r="F9" s="82">
        <f t="shared" si="2"/>
        <v>28458.894409256834</v>
      </c>
      <c r="G9" s="82">
        <f t="shared" si="2"/>
        <v>38789.431289542554</v>
      </c>
      <c r="H9" s="82">
        <f t="shared" si="2"/>
        <v>49228.918126510391</v>
      </c>
      <c r="I9" s="82">
        <f t="shared" si="2"/>
        <v>46052.656895694337</v>
      </c>
      <c r="J9" s="82">
        <f t="shared" si="2"/>
        <v>50521.322005326816</v>
      </c>
      <c r="K9" s="82">
        <f t="shared" si="2"/>
        <v>51087.344245692671</v>
      </c>
      <c r="L9" s="82">
        <f t="shared" si="2"/>
        <v>46029.508410919574</v>
      </c>
      <c r="M9" s="82">
        <f t="shared" si="2"/>
        <v>40727.881241940959</v>
      </c>
      <c r="N9" s="82">
        <f t="shared" si="2"/>
        <v>35499.251579882322</v>
      </c>
      <c r="O9" s="82">
        <f t="shared" si="2"/>
        <v>30650.610477500279</v>
      </c>
      <c r="P9" s="82">
        <f t="shared" si="2"/>
        <v>27582.800045748612</v>
      </c>
      <c r="Q9" s="82">
        <f t="shared" si="2"/>
        <v>23192.316453720778</v>
      </c>
      <c r="R9" s="82">
        <f t="shared" si="2"/>
        <v>20145.286878984491</v>
      </c>
      <c r="S9" s="82">
        <f t="shared" si="2"/>
        <v>20106.625871752458</v>
      </c>
      <c r="T9" s="82">
        <f t="shared" si="2"/>
        <v>19136.941182686664</v>
      </c>
      <c r="U9" s="82">
        <f t="shared" si="2"/>
        <v>15757.730195601889</v>
      </c>
      <c r="V9" s="82">
        <f t="shared" si="2"/>
        <v>10639.14674370705</v>
      </c>
      <c r="W9" s="82">
        <f t="shared" si="2"/>
        <v>5238.1228499739591</v>
      </c>
      <c r="X9" s="82">
        <f>SUM(X83,X127,X172)</f>
        <v>1427.5244730183945</v>
      </c>
      <c r="Y9" s="82">
        <f>SUM(Y83,Y127,Y172)</f>
        <v>173.7769215760818</v>
      </c>
      <c r="Z9" s="82">
        <f>SUM(Z83,Z127,Z172)</f>
        <v>0</v>
      </c>
      <c r="AA9" s="82">
        <f>SUM(AA83,AA127,AA172)</f>
        <v>0</v>
      </c>
    </row>
    <row r="10" spans="1:27" s="461" customFormat="1" x14ac:dyDescent="0.25">
      <c r="A10" s="73" t="s">
        <v>317</v>
      </c>
      <c r="B10" s="73"/>
      <c r="C10" s="73"/>
      <c r="D10" s="109">
        <f>D5+D6-SUM(D7:D9)</f>
        <v>62524.811426724715</v>
      </c>
      <c r="E10" s="109">
        <f>E5+E6-SUM(E7:E9)</f>
        <v>127662.51647339763</v>
      </c>
      <c r="F10" s="109">
        <f>F5+F6-SUM(F7:F9)</f>
        <v>202338.86485843119</v>
      </c>
      <c r="G10" s="109">
        <f t="shared" ref="G10:W10" si="3">G5+G6-SUM(G7:G9)</f>
        <v>288058.74555345753</v>
      </c>
      <c r="H10" s="109">
        <f t="shared" si="3"/>
        <v>344889.64964206854</v>
      </c>
      <c r="I10" s="109">
        <f t="shared" si="3"/>
        <v>350044.46788444236</v>
      </c>
      <c r="J10" s="109">
        <f t="shared" si="3"/>
        <v>347394.86757270613</v>
      </c>
      <c r="K10" s="109">
        <f t="shared" si="3"/>
        <v>296307.52332701348</v>
      </c>
      <c r="L10" s="109">
        <f t="shared" si="3"/>
        <v>250278.0149160939</v>
      </c>
      <c r="M10" s="109">
        <f t="shared" si="3"/>
        <v>209550.13367415295</v>
      </c>
      <c r="N10" s="109">
        <f t="shared" si="3"/>
        <v>174050.88209427064</v>
      </c>
      <c r="O10" s="109">
        <f t="shared" si="3"/>
        <v>143400.27161677036</v>
      </c>
      <c r="P10" s="109">
        <f t="shared" si="3"/>
        <v>115817.47157102174</v>
      </c>
      <c r="Q10" s="109">
        <f t="shared" si="3"/>
        <v>92625.155117300965</v>
      </c>
      <c r="R10" s="109">
        <f t="shared" si="3"/>
        <v>72479.868238316471</v>
      </c>
      <c r="S10" s="109">
        <f t="shared" si="3"/>
        <v>52373.242366564009</v>
      </c>
      <c r="T10" s="109">
        <f t="shared" si="3"/>
        <v>33236.301183877345</v>
      </c>
      <c r="U10" s="109">
        <f t="shared" si="3"/>
        <v>17478.570988275456</v>
      </c>
      <c r="V10" s="109">
        <f t="shared" si="3"/>
        <v>6839.4242445684067</v>
      </c>
      <c r="W10" s="109">
        <f t="shared" si="3"/>
        <v>1601.3013945944476</v>
      </c>
      <c r="X10" s="109">
        <f>X5+X6-SUM(X7:X9)</f>
        <v>173.77692157605316</v>
      </c>
      <c r="Y10" s="109">
        <f>Y5+Y6-SUM(Y7:Y9)</f>
        <v>-2.8649083105847239E-11</v>
      </c>
      <c r="Z10" s="109">
        <f>Z5+Z6-SUM(Z7:Z9)</f>
        <v>-2.8649083105847239E-11</v>
      </c>
      <c r="AA10" s="109">
        <f>AA5+AA6-SUM(AA7:AA9)</f>
        <v>-2.8649083105847239E-11</v>
      </c>
    </row>
    <row r="11" spans="1:27" s="461" customFormat="1" x14ac:dyDescent="0.25">
      <c r="A11" s="73"/>
      <c r="B11" s="73"/>
      <c r="C11" s="73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</row>
    <row r="12" spans="1:27" s="461" customFormat="1" x14ac:dyDescent="0.25">
      <c r="A12" s="73" t="s">
        <v>318</v>
      </c>
      <c r="B12" s="73"/>
      <c r="C12" s="73"/>
      <c r="D12" s="82">
        <f>AVERAGE(D5,D10)</f>
        <v>49041.710208617187</v>
      </c>
      <c r="E12" s="82">
        <f>AVERAGE(E5,E10)</f>
        <v>95093.663950061164</v>
      </c>
      <c r="F12" s="82">
        <f>AVERAGE(F5,F10)</f>
        <v>165000.69066591442</v>
      </c>
      <c r="G12" s="82">
        <f t="shared" ref="G12:W12" si="4">AVERAGE(G5,G10)</f>
        <v>245198.80520594434</v>
      </c>
      <c r="H12" s="82">
        <f t="shared" si="4"/>
        <v>316474.19759776304</v>
      </c>
      <c r="I12" s="82">
        <f t="shared" si="4"/>
        <v>347467.05876325548</v>
      </c>
      <c r="J12" s="82">
        <f t="shared" si="4"/>
        <v>348719.66772857425</v>
      </c>
      <c r="K12" s="82">
        <f t="shared" si="4"/>
        <v>321851.19544985984</v>
      </c>
      <c r="L12" s="82">
        <f t="shared" si="4"/>
        <v>273292.76912155369</v>
      </c>
      <c r="M12" s="82">
        <f t="shared" si="4"/>
        <v>229914.07429512343</v>
      </c>
      <c r="N12" s="82">
        <f t="shared" si="4"/>
        <v>191800.50788421178</v>
      </c>
      <c r="O12" s="82">
        <f t="shared" si="4"/>
        <v>158725.57685552048</v>
      </c>
      <c r="P12" s="82">
        <f t="shared" si="4"/>
        <v>129608.87159389605</v>
      </c>
      <c r="Q12" s="82">
        <f t="shared" si="4"/>
        <v>104221.31334416135</v>
      </c>
      <c r="R12" s="82">
        <f t="shared" si="4"/>
        <v>82552.51167780871</v>
      </c>
      <c r="S12" s="82">
        <f t="shared" si="4"/>
        <v>62426.55530244024</v>
      </c>
      <c r="T12" s="82">
        <f t="shared" si="4"/>
        <v>42804.771775220681</v>
      </c>
      <c r="U12" s="82">
        <f t="shared" si="4"/>
        <v>25357.436086076399</v>
      </c>
      <c r="V12" s="82">
        <f t="shared" si="4"/>
        <v>12158.997616421932</v>
      </c>
      <c r="W12" s="82">
        <f t="shared" si="4"/>
        <v>4220.3628195814272</v>
      </c>
      <c r="X12" s="82">
        <f>AVERAGE(X5,X10)</f>
        <v>887.53915808525039</v>
      </c>
      <c r="Y12" s="82">
        <f>AVERAGE(Y5,Y10)</f>
        <v>86.888460788012253</v>
      </c>
      <c r="Z12" s="82">
        <f>AVERAGE(Z5,Z10)</f>
        <v>-2.8649083105847239E-11</v>
      </c>
      <c r="AA12" s="82">
        <f>AVERAGE(AA5,AA10)</f>
        <v>-2.8649083105847239E-11</v>
      </c>
    </row>
    <row r="13" spans="1:27" s="461" customFormat="1" outlineLevel="1" x14ac:dyDescent="0.25">
      <c r="A13" s="462"/>
      <c r="B13" s="462"/>
      <c r="C13" s="462"/>
      <c r="D13" s="463"/>
      <c r="E13" s="463"/>
      <c r="F13" s="463"/>
    </row>
    <row r="14" spans="1:27" s="101" customFormat="1" outlineLevel="1" x14ac:dyDescent="0.25">
      <c r="A14" s="556" t="s">
        <v>0</v>
      </c>
      <c r="B14" s="559"/>
      <c r="C14" s="557">
        <f>SUM(D14:AA14)</f>
        <v>0</v>
      </c>
      <c r="D14" s="560">
        <f t="shared" ref="D14:W14" si="5">IF(ABS(D10-D84-D128-D173)&lt;0.001,0,ABS(D10-D84-D128-D173))</f>
        <v>0</v>
      </c>
      <c r="E14" s="560">
        <f t="shared" si="5"/>
        <v>0</v>
      </c>
      <c r="F14" s="560">
        <f t="shared" si="5"/>
        <v>0</v>
      </c>
      <c r="G14" s="560">
        <f t="shared" si="5"/>
        <v>0</v>
      </c>
      <c r="H14" s="560">
        <f t="shared" si="5"/>
        <v>0</v>
      </c>
      <c r="I14" s="560">
        <f t="shared" si="5"/>
        <v>0</v>
      </c>
      <c r="J14" s="560">
        <f t="shared" si="5"/>
        <v>0</v>
      </c>
      <c r="K14" s="560">
        <f t="shared" si="5"/>
        <v>0</v>
      </c>
      <c r="L14" s="560">
        <f t="shared" si="5"/>
        <v>0</v>
      </c>
      <c r="M14" s="560">
        <f t="shared" si="5"/>
        <v>0</v>
      </c>
      <c r="N14" s="560">
        <f t="shared" si="5"/>
        <v>0</v>
      </c>
      <c r="O14" s="560">
        <f t="shared" si="5"/>
        <v>0</v>
      </c>
      <c r="P14" s="560">
        <f t="shared" si="5"/>
        <v>0</v>
      </c>
      <c r="Q14" s="560">
        <f t="shared" si="5"/>
        <v>0</v>
      </c>
      <c r="R14" s="560">
        <f t="shared" si="5"/>
        <v>0</v>
      </c>
      <c r="S14" s="560">
        <f t="shared" si="5"/>
        <v>0</v>
      </c>
      <c r="T14" s="560">
        <f t="shared" si="5"/>
        <v>0</v>
      </c>
      <c r="U14" s="560">
        <f t="shared" si="5"/>
        <v>0</v>
      </c>
      <c r="V14" s="560">
        <f t="shared" si="5"/>
        <v>0</v>
      </c>
      <c r="W14" s="560">
        <f t="shared" si="5"/>
        <v>0</v>
      </c>
      <c r="X14" s="560">
        <f>IF(ABS(X10-X84-X128-X173)&lt;0.001,0,ABS(X10-X84-X128-X173))</f>
        <v>0</v>
      </c>
      <c r="Y14" s="560">
        <f>IF(ABS(Y10-Y84-Y128-Y173)&lt;0.001,0,ABS(Y10-Y84-Y128-Y173))</f>
        <v>0</v>
      </c>
      <c r="Z14" s="560">
        <f>IF(ABS(Z10-Z84-Z128-Z173)&lt;0.001,0,ABS(Z10-Z84-Z128-Z173))</f>
        <v>0</v>
      </c>
      <c r="AA14" s="560">
        <f>IF(ABS(AA10-AA84-AA128-AA173)&lt;0.001,0,ABS(AA10-AA84-AA128-AA173))</f>
        <v>0</v>
      </c>
    </row>
    <row r="15" spans="1:27" s="85" customFormat="1" outlineLevel="1" x14ac:dyDescent="0.25">
      <c r="A15" s="492"/>
      <c r="C15" s="493"/>
      <c r="D15" s="494"/>
      <c r="E15" s="494"/>
      <c r="F15" s="494"/>
      <c r="G15" s="494"/>
      <c r="H15" s="494"/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4"/>
      <c r="V15" s="494"/>
      <c r="W15" s="494"/>
      <c r="X15" s="494"/>
      <c r="Y15" s="494"/>
      <c r="Z15" s="494"/>
      <c r="AA15" s="494"/>
    </row>
    <row r="16" spans="1:27" s="85" customFormat="1" outlineLevel="1" x14ac:dyDescent="0.25">
      <c r="A16" s="492"/>
      <c r="C16" s="493"/>
      <c r="D16" s="494"/>
      <c r="E16" s="494"/>
      <c r="F16" s="494"/>
      <c r="G16" s="494"/>
      <c r="H16" s="494"/>
      <c r="I16" s="494"/>
      <c r="J16" s="494"/>
      <c r="K16" s="494"/>
      <c r="L16" s="494"/>
      <c r="M16" s="494"/>
      <c r="N16" s="494"/>
      <c r="O16" s="494"/>
      <c r="P16" s="494"/>
      <c r="Q16" s="494"/>
      <c r="R16" s="494"/>
      <c r="S16" s="494"/>
      <c r="T16" s="494"/>
      <c r="U16" s="494"/>
      <c r="V16" s="494"/>
      <c r="W16" s="494"/>
      <c r="X16" s="494"/>
      <c r="Y16" s="494"/>
      <c r="Z16" s="494"/>
      <c r="AA16" s="494"/>
    </row>
    <row r="17" spans="1:27" s="85" customFormat="1" outlineLevel="1" x14ac:dyDescent="0.25">
      <c r="A17" s="492"/>
      <c r="C17" s="493"/>
      <c r="D17" s="494"/>
      <c r="E17" s="494"/>
      <c r="F17" s="494"/>
      <c r="G17" s="494"/>
      <c r="H17" s="494"/>
      <c r="I17" s="494"/>
      <c r="J17" s="494"/>
      <c r="K17" s="494"/>
      <c r="L17" s="494"/>
      <c r="M17" s="494"/>
      <c r="N17" s="494"/>
      <c r="O17" s="494"/>
      <c r="P17" s="494"/>
      <c r="Q17" s="494"/>
      <c r="R17" s="494"/>
      <c r="S17" s="494"/>
      <c r="T17" s="494"/>
      <c r="U17" s="494"/>
      <c r="V17" s="494"/>
      <c r="W17" s="494"/>
      <c r="X17" s="494"/>
      <c r="Y17" s="494"/>
      <c r="Z17" s="494"/>
      <c r="AA17" s="494"/>
    </row>
    <row r="18" spans="1:27" s="461" customFormat="1" outlineLevel="1" x14ac:dyDescent="0.25">
      <c r="A18" s="346" t="s">
        <v>261</v>
      </c>
      <c r="B18" s="460"/>
      <c r="C18" s="460"/>
      <c r="D18" s="84"/>
      <c r="E18" s="84"/>
      <c r="F18" s="84"/>
      <c r="G18" s="84"/>
    </row>
    <row r="19" spans="1:27" s="461" customFormat="1" outlineLevel="1" x14ac:dyDescent="0.25">
      <c r="A19" s="346" t="str">
        <f>$A$4</f>
        <v>($000 Real 2008)</v>
      </c>
      <c r="B19" s="409"/>
      <c r="C19" s="409"/>
      <c r="D19" s="468">
        <f>D$4</f>
        <v>2009</v>
      </c>
      <c r="E19" s="468">
        <f t="shared" ref="E19:AA19" si="6">E$4</f>
        <v>2010</v>
      </c>
      <c r="F19" s="468">
        <f t="shared" si="6"/>
        <v>2011</v>
      </c>
      <c r="G19" s="468">
        <f t="shared" si="6"/>
        <v>2012</v>
      </c>
      <c r="H19" s="468">
        <f t="shared" si="6"/>
        <v>2013</v>
      </c>
      <c r="I19" s="468">
        <f t="shared" si="6"/>
        <v>2014</v>
      </c>
      <c r="J19" s="468">
        <f t="shared" si="6"/>
        <v>2015</v>
      </c>
      <c r="K19" s="468">
        <f t="shared" si="6"/>
        <v>2016</v>
      </c>
      <c r="L19" s="468">
        <f t="shared" si="6"/>
        <v>2017</v>
      </c>
      <c r="M19" s="468">
        <f t="shared" si="6"/>
        <v>2018</v>
      </c>
      <c r="N19" s="468">
        <f t="shared" si="6"/>
        <v>2019</v>
      </c>
      <c r="O19" s="468">
        <f t="shared" si="6"/>
        <v>2020</v>
      </c>
      <c r="P19" s="468">
        <f t="shared" si="6"/>
        <v>2021</v>
      </c>
      <c r="Q19" s="468">
        <f t="shared" si="6"/>
        <v>2022</v>
      </c>
      <c r="R19" s="468">
        <f t="shared" si="6"/>
        <v>2023</v>
      </c>
      <c r="S19" s="468">
        <f t="shared" si="6"/>
        <v>2024</v>
      </c>
      <c r="T19" s="468">
        <f t="shared" si="6"/>
        <v>2025</v>
      </c>
      <c r="U19" s="468">
        <f t="shared" si="6"/>
        <v>2026</v>
      </c>
      <c r="V19" s="468">
        <f t="shared" si="6"/>
        <v>2027</v>
      </c>
      <c r="W19" s="468">
        <f t="shared" si="6"/>
        <v>2028</v>
      </c>
      <c r="X19" s="468">
        <f t="shared" si="6"/>
        <v>2029</v>
      </c>
      <c r="Y19" s="468">
        <f t="shared" si="6"/>
        <v>2030</v>
      </c>
      <c r="Z19" s="468">
        <f t="shared" si="6"/>
        <v>2031</v>
      </c>
      <c r="AA19" s="468">
        <f t="shared" si="6"/>
        <v>2032</v>
      </c>
    </row>
    <row r="20" spans="1:27" s="461" customFormat="1" outlineLevel="1" x14ac:dyDescent="0.25">
      <c r="A20" s="73" t="s">
        <v>315</v>
      </c>
      <c r="B20" s="73"/>
      <c r="C20" s="73"/>
      <c r="D20" s="82">
        <f>B92</f>
        <v>12046.751022758806</v>
      </c>
      <c r="E20" s="82">
        <f>D25</f>
        <v>14414.85812441802</v>
      </c>
      <c r="F20" s="82">
        <f t="shared" ref="F20:W20" si="7">E25</f>
        <v>15380.182855805746</v>
      </c>
      <c r="G20" s="82">
        <f t="shared" si="7"/>
        <v>10432.097591502734</v>
      </c>
      <c r="H20" s="82">
        <f t="shared" si="7"/>
        <v>5613.3478884813358</v>
      </c>
      <c r="I20" s="82">
        <f t="shared" si="7"/>
        <v>0</v>
      </c>
      <c r="J20" s="82">
        <f t="shared" si="7"/>
        <v>-2.8421709430404007E-14</v>
      </c>
      <c r="K20" s="82">
        <f t="shared" si="7"/>
        <v>-2.8421709430404007E-14</v>
      </c>
      <c r="L20" s="82">
        <f t="shared" si="7"/>
        <v>-2.8421709430404007E-14</v>
      </c>
      <c r="M20" s="82">
        <f t="shared" si="7"/>
        <v>-2.8421709430404007E-14</v>
      </c>
      <c r="N20" s="82">
        <f t="shared" si="7"/>
        <v>-2.8421709430404007E-14</v>
      </c>
      <c r="O20" s="82">
        <f t="shared" si="7"/>
        <v>-2.8421709430404007E-14</v>
      </c>
      <c r="P20" s="82">
        <f t="shared" si="7"/>
        <v>-2.8421709430404007E-14</v>
      </c>
      <c r="Q20" s="82">
        <f t="shared" si="7"/>
        <v>-2.8421709430404007E-14</v>
      </c>
      <c r="R20" s="82">
        <f t="shared" si="7"/>
        <v>-2.8421709430404007E-14</v>
      </c>
      <c r="S20" s="82">
        <f t="shared" si="7"/>
        <v>-2.8421709430404007E-14</v>
      </c>
      <c r="T20" s="82">
        <f t="shared" si="7"/>
        <v>-2.8421709430404007E-14</v>
      </c>
      <c r="U20" s="82">
        <f t="shared" si="7"/>
        <v>-2.8421709430404007E-14</v>
      </c>
      <c r="V20" s="82">
        <f t="shared" si="7"/>
        <v>-2.8421709430404007E-14</v>
      </c>
      <c r="W20" s="82">
        <f t="shared" si="7"/>
        <v>-2.8421709430404007E-14</v>
      </c>
      <c r="X20" s="82">
        <f>W25</f>
        <v>-2.8421709430404007E-14</v>
      </c>
      <c r="Y20" s="82">
        <f>X25</f>
        <v>-2.8421709430404007E-14</v>
      </c>
      <c r="Z20" s="82">
        <f>Y25</f>
        <v>-2.8421709430404007E-14</v>
      </c>
      <c r="AA20" s="82">
        <f>Z25</f>
        <v>-2.8421709430404007E-14</v>
      </c>
    </row>
    <row r="21" spans="1:27" s="461" customFormat="1" outlineLevel="1" x14ac:dyDescent="0.25">
      <c r="A21" s="73" t="s">
        <v>316</v>
      </c>
      <c r="B21" s="73"/>
      <c r="C21" s="73"/>
      <c r="D21" s="82">
        <f>'Data 2009-15 (Real $2008)'!D10/10^3</f>
        <v>5374.6394694873497</v>
      </c>
      <c r="E21" s="82">
        <f>'Data 2009-15 (Real $2008)'!E10/10^3</f>
        <v>5330.5458062409389</v>
      </c>
      <c r="F21" s="82">
        <f>'Data 2009-15 (Real $2008)'!F10/10^3</f>
        <v>223.30294287362955</v>
      </c>
      <c r="G21" s="82">
        <f>'Data 2009-15 (Real $2008)'!G10/10^3</f>
        <v>595.94863909495484</v>
      </c>
      <c r="H21" s="82">
        <f>'Data 2009-15 (Real $2008)'!H10/10^3</f>
        <v>0</v>
      </c>
      <c r="I21" s="82">
        <f>'Data 2009-15 (Real $2008)'!I10/10^3</f>
        <v>0</v>
      </c>
      <c r="J21" s="82">
        <f>'Data 2009-15 (Real $2008)'!J10/10^3</f>
        <v>0</v>
      </c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</row>
    <row r="22" spans="1:27" s="461" customFormat="1" outlineLevel="1" x14ac:dyDescent="0.25">
      <c r="A22" s="73" t="s">
        <v>4</v>
      </c>
      <c r="B22" s="73"/>
      <c r="C22" s="73"/>
      <c r="D22" s="82">
        <f>'Data 2009-15 (Real $2008)'!D34/10^3</f>
        <v>0</v>
      </c>
      <c r="E22" s="82">
        <f>'Data 2009-15 (Real $2008)'!E34/10^3</f>
        <v>0</v>
      </c>
      <c r="F22" s="82">
        <f>'Data 2009-15 (Real $2008)'!F34/10^3</f>
        <v>0</v>
      </c>
      <c r="G22" s="82">
        <f>'Data 2009-15 (Real $2008)'!G34/10^3</f>
        <v>0</v>
      </c>
      <c r="H22" s="82">
        <f>'Data 2009-15 (Real $2008)'!H34/10^3</f>
        <v>0</v>
      </c>
      <c r="I22" s="82">
        <f>'Data 2009-15 (Real $2008)'!I34/10^3</f>
        <v>0</v>
      </c>
      <c r="J22" s="82">
        <f>'Data 2009-15 (Real $2008)'!J34/10^3</f>
        <v>0</v>
      </c>
      <c r="K22" s="482"/>
      <c r="L22" s="482"/>
      <c r="M22" s="482"/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</row>
    <row r="23" spans="1:27" s="461" customFormat="1" outlineLevel="1" x14ac:dyDescent="0.25">
      <c r="A23" s="84" t="s">
        <v>5</v>
      </c>
      <c r="B23" s="84"/>
      <c r="C23" s="84"/>
      <c r="D23" s="82">
        <f>'Data 2009-15 (Real $2008)'!D43/10^3</f>
        <v>0</v>
      </c>
      <c r="E23" s="82">
        <f>'Data 2009-15 (Real $2008)'!E43/10^3</f>
        <v>0</v>
      </c>
      <c r="F23" s="82">
        <f>'Data 2009-15 (Real $2008)'!F43/10^3</f>
        <v>0</v>
      </c>
      <c r="G23" s="82">
        <f>'Data 2009-15 (Real $2008)'!G43/10^3</f>
        <v>0</v>
      </c>
      <c r="H23" s="82">
        <f>'Data 2009-15 (Real $2008)'!H43/10^3</f>
        <v>0</v>
      </c>
      <c r="I23" s="82">
        <f>'Data 2009-15 (Real $2008)'!I43/10^3</f>
        <v>0</v>
      </c>
      <c r="J23" s="82">
        <f>'Data 2009-15 (Real $2008)'!J43/10^3</f>
        <v>0</v>
      </c>
      <c r="K23" s="482"/>
      <c r="L23" s="482"/>
      <c r="M23" s="482"/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</row>
    <row r="24" spans="1:27" s="461" customFormat="1" outlineLevel="1" x14ac:dyDescent="0.25">
      <c r="A24" s="73" t="s">
        <v>137</v>
      </c>
      <c r="B24" s="73"/>
      <c r="C24" s="73"/>
      <c r="D24" s="82">
        <f>D92+D198</f>
        <v>3006.5323678281338</v>
      </c>
      <c r="E24" s="82">
        <f t="shared" ref="E24:W24" si="8">E92+E198</f>
        <v>4365.2210748532116</v>
      </c>
      <c r="F24" s="82">
        <f t="shared" si="8"/>
        <v>5171.3882071766429</v>
      </c>
      <c r="G24" s="82">
        <f t="shared" si="8"/>
        <v>5414.6983421163532</v>
      </c>
      <c r="H24" s="82">
        <f t="shared" si="8"/>
        <v>5613.3478884813385</v>
      </c>
      <c r="I24" s="82">
        <f t="shared" si="8"/>
        <v>2.8421709430404007E-14</v>
      </c>
      <c r="J24" s="82">
        <f t="shared" si="8"/>
        <v>0</v>
      </c>
      <c r="K24" s="82">
        <f t="shared" si="8"/>
        <v>0</v>
      </c>
      <c r="L24" s="82">
        <f t="shared" si="8"/>
        <v>0</v>
      </c>
      <c r="M24" s="82">
        <f t="shared" si="8"/>
        <v>0</v>
      </c>
      <c r="N24" s="82">
        <f t="shared" si="8"/>
        <v>0</v>
      </c>
      <c r="O24" s="82">
        <f t="shared" si="8"/>
        <v>0</v>
      </c>
      <c r="P24" s="82">
        <f t="shared" si="8"/>
        <v>0</v>
      </c>
      <c r="Q24" s="82">
        <f t="shared" si="8"/>
        <v>0</v>
      </c>
      <c r="R24" s="82">
        <f t="shared" si="8"/>
        <v>0</v>
      </c>
      <c r="S24" s="82">
        <f t="shared" si="8"/>
        <v>0</v>
      </c>
      <c r="T24" s="82">
        <f t="shared" si="8"/>
        <v>0</v>
      </c>
      <c r="U24" s="82">
        <f t="shared" si="8"/>
        <v>0</v>
      </c>
      <c r="V24" s="82">
        <f t="shared" si="8"/>
        <v>0</v>
      </c>
      <c r="W24" s="82">
        <f t="shared" si="8"/>
        <v>0</v>
      </c>
      <c r="X24" s="82">
        <f>X92+X198</f>
        <v>0</v>
      </c>
      <c r="Y24" s="82">
        <f>Y92+Y198</f>
        <v>0</v>
      </c>
      <c r="Z24" s="82">
        <f>Z92+Z198</f>
        <v>0</v>
      </c>
      <c r="AA24" s="82">
        <f>AA92+AA198</f>
        <v>0</v>
      </c>
    </row>
    <row r="25" spans="1:27" s="461" customFormat="1" outlineLevel="1" x14ac:dyDescent="0.25">
      <c r="A25" s="73" t="s">
        <v>317</v>
      </c>
      <c r="B25" s="73"/>
      <c r="C25" s="73"/>
      <c r="D25" s="109">
        <f>D20+D21-SUM(D22:D24)</f>
        <v>14414.85812441802</v>
      </c>
      <c r="E25" s="109">
        <f t="shared" ref="E25:W25" si="9">E20+E21-SUM(E22:E24)</f>
        <v>15380.182855805746</v>
      </c>
      <c r="F25" s="109">
        <f t="shared" si="9"/>
        <v>10432.097591502734</v>
      </c>
      <c r="G25" s="109">
        <f t="shared" si="9"/>
        <v>5613.3478884813358</v>
      </c>
      <c r="H25" s="109">
        <f t="shared" si="9"/>
        <v>0</v>
      </c>
      <c r="I25" s="109">
        <f t="shared" si="9"/>
        <v>-2.8421709430404007E-14</v>
      </c>
      <c r="J25" s="109">
        <f t="shared" si="9"/>
        <v>-2.8421709430404007E-14</v>
      </c>
      <c r="K25" s="109">
        <f t="shared" si="9"/>
        <v>-2.8421709430404007E-14</v>
      </c>
      <c r="L25" s="109">
        <f t="shared" si="9"/>
        <v>-2.8421709430404007E-14</v>
      </c>
      <c r="M25" s="109">
        <f t="shared" si="9"/>
        <v>-2.8421709430404007E-14</v>
      </c>
      <c r="N25" s="109">
        <f t="shared" si="9"/>
        <v>-2.8421709430404007E-14</v>
      </c>
      <c r="O25" s="109">
        <f t="shared" si="9"/>
        <v>-2.8421709430404007E-14</v>
      </c>
      <c r="P25" s="109">
        <f t="shared" si="9"/>
        <v>-2.8421709430404007E-14</v>
      </c>
      <c r="Q25" s="109">
        <f t="shared" si="9"/>
        <v>-2.8421709430404007E-14</v>
      </c>
      <c r="R25" s="109">
        <f t="shared" si="9"/>
        <v>-2.8421709430404007E-14</v>
      </c>
      <c r="S25" s="109">
        <f t="shared" si="9"/>
        <v>-2.8421709430404007E-14</v>
      </c>
      <c r="T25" s="109">
        <f t="shared" si="9"/>
        <v>-2.8421709430404007E-14</v>
      </c>
      <c r="U25" s="109">
        <f t="shared" si="9"/>
        <v>-2.8421709430404007E-14</v>
      </c>
      <c r="V25" s="109">
        <f t="shared" si="9"/>
        <v>-2.8421709430404007E-14</v>
      </c>
      <c r="W25" s="109">
        <f t="shared" si="9"/>
        <v>-2.8421709430404007E-14</v>
      </c>
      <c r="X25" s="109">
        <f>X20+X21-SUM(X22:X24)</f>
        <v>-2.8421709430404007E-14</v>
      </c>
      <c r="Y25" s="109">
        <f>Y20+Y21-SUM(Y22:Y24)</f>
        <v>-2.8421709430404007E-14</v>
      </c>
      <c r="Z25" s="109">
        <f>Z20+Z21-SUM(Z22:Z24)</f>
        <v>-2.8421709430404007E-14</v>
      </c>
      <c r="AA25" s="109">
        <f>AA20+AA21-SUM(AA22:AA24)</f>
        <v>-2.8421709430404007E-14</v>
      </c>
    </row>
    <row r="26" spans="1:27" s="85" customFormat="1" outlineLevel="1" x14ac:dyDescent="0.25">
      <c r="A26" s="492"/>
      <c r="C26" s="493"/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4"/>
      <c r="Q26" s="494"/>
      <c r="R26" s="494"/>
      <c r="S26" s="494"/>
      <c r="T26" s="494"/>
      <c r="U26" s="494"/>
      <c r="V26" s="494"/>
      <c r="W26" s="494"/>
      <c r="X26" s="494"/>
      <c r="Y26" s="494"/>
      <c r="Z26" s="494"/>
      <c r="AA26" s="494"/>
    </row>
    <row r="27" spans="1:27" s="85" customFormat="1" outlineLevel="1" x14ac:dyDescent="0.25">
      <c r="A27" s="492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</row>
    <row r="28" spans="1:27" s="461" customFormat="1" outlineLevel="1" x14ac:dyDescent="0.25">
      <c r="A28" s="346" t="s">
        <v>260</v>
      </c>
      <c r="B28" s="460"/>
      <c r="C28" s="460"/>
      <c r="D28" s="84"/>
      <c r="E28" s="84"/>
      <c r="F28" s="84"/>
      <c r="G28" s="84"/>
    </row>
    <row r="29" spans="1:27" s="461" customFormat="1" outlineLevel="1" x14ac:dyDescent="0.25">
      <c r="A29" s="346" t="str">
        <f>$A$4</f>
        <v>($000 Real 2008)</v>
      </c>
      <c r="B29" s="409"/>
      <c r="C29" s="409"/>
      <c r="D29" s="468">
        <f>D$4</f>
        <v>2009</v>
      </c>
      <c r="E29" s="468">
        <f t="shared" ref="E29:AA29" si="10">E$4</f>
        <v>2010</v>
      </c>
      <c r="F29" s="468">
        <f t="shared" si="10"/>
        <v>2011</v>
      </c>
      <c r="G29" s="468">
        <f t="shared" si="10"/>
        <v>2012</v>
      </c>
      <c r="H29" s="468">
        <f t="shared" si="10"/>
        <v>2013</v>
      </c>
      <c r="I29" s="468">
        <f t="shared" si="10"/>
        <v>2014</v>
      </c>
      <c r="J29" s="468">
        <f t="shared" si="10"/>
        <v>2015</v>
      </c>
      <c r="K29" s="468">
        <f t="shared" si="10"/>
        <v>2016</v>
      </c>
      <c r="L29" s="468">
        <f t="shared" si="10"/>
        <v>2017</v>
      </c>
      <c r="M29" s="468">
        <f t="shared" si="10"/>
        <v>2018</v>
      </c>
      <c r="N29" s="468">
        <f t="shared" si="10"/>
        <v>2019</v>
      </c>
      <c r="O29" s="468">
        <f t="shared" si="10"/>
        <v>2020</v>
      </c>
      <c r="P29" s="468">
        <f t="shared" si="10"/>
        <v>2021</v>
      </c>
      <c r="Q29" s="468">
        <f t="shared" si="10"/>
        <v>2022</v>
      </c>
      <c r="R29" s="468">
        <f t="shared" si="10"/>
        <v>2023</v>
      </c>
      <c r="S29" s="468">
        <f t="shared" si="10"/>
        <v>2024</v>
      </c>
      <c r="T29" s="468">
        <f t="shared" si="10"/>
        <v>2025</v>
      </c>
      <c r="U29" s="468">
        <f t="shared" si="10"/>
        <v>2026</v>
      </c>
      <c r="V29" s="468">
        <f t="shared" si="10"/>
        <v>2027</v>
      </c>
      <c r="W29" s="468">
        <f t="shared" si="10"/>
        <v>2028</v>
      </c>
      <c r="X29" s="468">
        <f t="shared" si="10"/>
        <v>2029</v>
      </c>
      <c r="Y29" s="468">
        <f t="shared" si="10"/>
        <v>2030</v>
      </c>
      <c r="Z29" s="468">
        <f t="shared" si="10"/>
        <v>2031</v>
      </c>
      <c r="AA29" s="468">
        <f t="shared" si="10"/>
        <v>2032</v>
      </c>
    </row>
    <row r="30" spans="1:27" s="461" customFormat="1" outlineLevel="1" x14ac:dyDescent="0.25">
      <c r="A30" s="73" t="s">
        <v>315</v>
      </c>
      <c r="B30" s="73"/>
      <c r="C30" s="73"/>
      <c r="D30" s="82">
        <f>B100</f>
        <v>7447.4591759152208</v>
      </c>
      <c r="E30" s="82">
        <f>D35</f>
        <v>9673.8128882172277</v>
      </c>
      <c r="F30" s="82">
        <f t="shared" ref="F30:W30" si="11">E35</f>
        <v>12016.892098286191</v>
      </c>
      <c r="G30" s="82">
        <f t="shared" si="11"/>
        <v>8015.6542436353029</v>
      </c>
      <c r="H30" s="82">
        <f t="shared" si="11"/>
        <v>4048.822665319567</v>
      </c>
      <c r="I30" s="82">
        <f t="shared" si="11"/>
        <v>0</v>
      </c>
      <c r="J30" s="82">
        <f t="shared" si="11"/>
        <v>8.8817841970012523E-16</v>
      </c>
      <c r="K30" s="82">
        <f t="shared" si="11"/>
        <v>8.8817841970012523E-16</v>
      </c>
      <c r="L30" s="82">
        <f t="shared" si="11"/>
        <v>8.8817841970012523E-16</v>
      </c>
      <c r="M30" s="82">
        <f t="shared" si="11"/>
        <v>8.8817841970012523E-16</v>
      </c>
      <c r="N30" s="82">
        <f t="shared" si="11"/>
        <v>8.8817841970012523E-16</v>
      </c>
      <c r="O30" s="82">
        <f t="shared" si="11"/>
        <v>8.8817841970012523E-16</v>
      </c>
      <c r="P30" s="82">
        <f t="shared" si="11"/>
        <v>8.8817841970012523E-16</v>
      </c>
      <c r="Q30" s="82">
        <f t="shared" si="11"/>
        <v>8.8817841970012523E-16</v>
      </c>
      <c r="R30" s="82">
        <f t="shared" si="11"/>
        <v>8.8817841970012523E-16</v>
      </c>
      <c r="S30" s="82">
        <f t="shared" si="11"/>
        <v>8.8817841970012523E-16</v>
      </c>
      <c r="T30" s="82">
        <f t="shared" si="11"/>
        <v>8.8817841970012523E-16</v>
      </c>
      <c r="U30" s="82">
        <f t="shared" si="11"/>
        <v>8.8817841970012523E-16</v>
      </c>
      <c r="V30" s="82">
        <f t="shared" si="11"/>
        <v>8.8817841970012523E-16</v>
      </c>
      <c r="W30" s="82">
        <f t="shared" si="11"/>
        <v>8.8817841970012523E-16</v>
      </c>
      <c r="X30" s="82">
        <f>W35</f>
        <v>8.8817841970012523E-16</v>
      </c>
      <c r="Y30" s="82">
        <f>X35</f>
        <v>8.8817841970012523E-16</v>
      </c>
      <c r="Z30" s="82">
        <f>Y35</f>
        <v>8.8817841970012523E-16</v>
      </c>
      <c r="AA30" s="82">
        <f>Z35</f>
        <v>8.8817841970012523E-16</v>
      </c>
    </row>
    <row r="31" spans="1:27" s="461" customFormat="1" outlineLevel="1" x14ac:dyDescent="0.25">
      <c r="A31" s="73" t="s">
        <v>316</v>
      </c>
      <c r="B31" s="73"/>
      <c r="C31" s="73"/>
      <c r="D31" s="82">
        <f>'Data 2009-15 (Real $2008)'!D11/10^3</f>
        <v>4180.3262409206818</v>
      </c>
      <c r="E31" s="82">
        <f>'Data 2009-15 (Real $2008)'!E11/10^3</f>
        <v>5555.1211708104811</v>
      </c>
      <c r="F31" s="82">
        <f>'Data 2009-15 (Real $2008)'!F11/10^3</f>
        <v>5.4910559723023651</v>
      </c>
      <c r="G31" s="82">
        <f>'Data 2009-15 (Real $2008)'!G11/10^3</f>
        <v>61.493315252872833</v>
      </c>
      <c r="H31" s="82">
        <f>'Data 2009-15 (Real $2008)'!H11/10^3</f>
        <v>0</v>
      </c>
      <c r="I31" s="82">
        <f>'Data 2009-15 (Real $2008)'!I11/10^3</f>
        <v>0</v>
      </c>
      <c r="J31" s="82">
        <f>'Data 2009-15 (Real $2008)'!J11/10^3</f>
        <v>0</v>
      </c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</row>
    <row r="32" spans="1:27" s="461" customFormat="1" outlineLevel="1" x14ac:dyDescent="0.25">
      <c r="A32" s="73" t="s">
        <v>4</v>
      </c>
      <c r="B32" s="73"/>
      <c r="C32" s="73"/>
      <c r="D32" s="82">
        <f>'Data 2009-15 (Real $2008)'!D35/10^3</f>
        <v>0</v>
      </c>
      <c r="E32" s="82">
        <f>'Data 2009-15 (Real $2008)'!E35/10^3</f>
        <v>0</v>
      </c>
      <c r="F32" s="82">
        <f>'Data 2009-15 (Real $2008)'!F35/10^3</f>
        <v>0</v>
      </c>
      <c r="G32" s="82">
        <f>'Data 2009-15 (Real $2008)'!G35/10^3</f>
        <v>0</v>
      </c>
      <c r="H32" s="82">
        <f>'Data 2009-15 (Real $2008)'!H35/10^3</f>
        <v>0</v>
      </c>
      <c r="I32" s="82">
        <f>'Data 2009-15 (Real $2008)'!I35/10^3</f>
        <v>0</v>
      </c>
      <c r="J32" s="82">
        <f>'Data 2009-15 (Real $2008)'!J35/10^3</f>
        <v>0</v>
      </c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</row>
    <row r="33" spans="1:27" s="461" customFormat="1" outlineLevel="1" x14ac:dyDescent="0.25">
      <c r="A33" s="84" t="s">
        <v>5</v>
      </c>
      <c r="B33" s="84"/>
      <c r="C33" s="84"/>
      <c r="D33" s="82">
        <f>'Data 2009-15 (Real $2008)'!D44/10^3</f>
        <v>0</v>
      </c>
      <c r="E33" s="82">
        <f>'Data 2009-15 (Real $2008)'!E44/10^3</f>
        <v>0</v>
      </c>
      <c r="F33" s="82">
        <f>'Data 2009-15 (Real $2008)'!F44/10^3</f>
        <v>0</v>
      </c>
      <c r="G33" s="82">
        <f>'Data 2009-15 (Real $2008)'!G44/10^3</f>
        <v>0</v>
      </c>
      <c r="H33" s="82">
        <f>'Data 2009-15 (Real $2008)'!H44/10^3</f>
        <v>0</v>
      </c>
      <c r="I33" s="82">
        <f>'Data 2009-15 (Real $2008)'!I44/10^3</f>
        <v>0</v>
      </c>
      <c r="J33" s="82">
        <f>'Data 2009-15 (Real $2008)'!J44/10^3</f>
        <v>0</v>
      </c>
      <c r="K33" s="48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</row>
    <row r="34" spans="1:27" s="461" customFormat="1" outlineLevel="1" x14ac:dyDescent="0.25">
      <c r="A34" s="73" t="s">
        <v>137</v>
      </c>
      <c r="B34" s="73"/>
      <c r="C34" s="73"/>
      <c r="D34" s="82">
        <f>D100+D210</f>
        <v>1953.9725286186756</v>
      </c>
      <c r="E34" s="82">
        <f t="shared" ref="E34:W34" si="12">E100+E210</f>
        <v>3212.0419607415188</v>
      </c>
      <c r="F34" s="82">
        <f t="shared" si="12"/>
        <v>4006.7289106231906</v>
      </c>
      <c r="G34" s="82">
        <f t="shared" si="12"/>
        <v>4028.3248935686088</v>
      </c>
      <c r="H34" s="82">
        <f t="shared" si="12"/>
        <v>4048.8226653195661</v>
      </c>
      <c r="I34" s="82">
        <f t="shared" si="12"/>
        <v>-8.8817841970012523E-16</v>
      </c>
      <c r="J34" s="82">
        <f t="shared" si="12"/>
        <v>0</v>
      </c>
      <c r="K34" s="82">
        <f t="shared" si="12"/>
        <v>0</v>
      </c>
      <c r="L34" s="82">
        <f t="shared" si="12"/>
        <v>0</v>
      </c>
      <c r="M34" s="82">
        <f t="shared" si="12"/>
        <v>0</v>
      </c>
      <c r="N34" s="82">
        <f t="shared" si="12"/>
        <v>0</v>
      </c>
      <c r="O34" s="82">
        <f t="shared" si="12"/>
        <v>0</v>
      </c>
      <c r="P34" s="82">
        <f t="shared" si="12"/>
        <v>0</v>
      </c>
      <c r="Q34" s="82">
        <f t="shared" si="12"/>
        <v>0</v>
      </c>
      <c r="R34" s="82">
        <f t="shared" si="12"/>
        <v>0</v>
      </c>
      <c r="S34" s="82">
        <f t="shared" si="12"/>
        <v>0</v>
      </c>
      <c r="T34" s="82">
        <f t="shared" si="12"/>
        <v>0</v>
      </c>
      <c r="U34" s="82">
        <f t="shared" si="12"/>
        <v>0</v>
      </c>
      <c r="V34" s="82">
        <f t="shared" si="12"/>
        <v>0</v>
      </c>
      <c r="W34" s="82">
        <f t="shared" si="12"/>
        <v>0</v>
      </c>
      <c r="X34" s="82">
        <f>X100+X210</f>
        <v>0</v>
      </c>
      <c r="Y34" s="82">
        <f>Y100+Y210</f>
        <v>0</v>
      </c>
      <c r="Z34" s="82">
        <f>Z100+Z210</f>
        <v>0</v>
      </c>
      <c r="AA34" s="82">
        <f>AA100+AA210</f>
        <v>0</v>
      </c>
    </row>
    <row r="35" spans="1:27" s="461" customFormat="1" outlineLevel="1" x14ac:dyDescent="0.25">
      <c r="A35" s="73" t="s">
        <v>317</v>
      </c>
      <c r="B35" s="73"/>
      <c r="C35" s="73"/>
      <c r="D35" s="109">
        <f t="shared" ref="D35:W35" si="13">D30+D31-SUM(D32:D34)</f>
        <v>9673.8128882172277</v>
      </c>
      <c r="E35" s="109">
        <f t="shared" si="13"/>
        <v>12016.892098286191</v>
      </c>
      <c r="F35" s="109">
        <f t="shared" si="13"/>
        <v>8015.6542436353029</v>
      </c>
      <c r="G35" s="109">
        <f t="shared" si="13"/>
        <v>4048.822665319567</v>
      </c>
      <c r="H35" s="109">
        <f t="shared" si="13"/>
        <v>0</v>
      </c>
      <c r="I35" s="109">
        <f t="shared" si="13"/>
        <v>8.8817841970012523E-16</v>
      </c>
      <c r="J35" s="109">
        <f t="shared" si="13"/>
        <v>8.8817841970012523E-16</v>
      </c>
      <c r="K35" s="109">
        <f t="shared" si="13"/>
        <v>8.8817841970012523E-16</v>
      </c>
      <c r="L35" s="109">
        <f t="shared" si="13"/>
        <v>8.8817841970012523E-16</v>
      </c>
      <c r="M35" s="109">
        <f t="shared" si="13"/>
        <v>8.8817841970012523E-16</v>
      </c>
      <c r="N35" s="109">
        <f t="shared" si="13"/>
        <v>8.8817841970012523E-16</v>
      </c>
      <c r="O35" s="109">
        <f t="shared" si="13"/>
        <v>8.8817841970012523E-16</v>
      </c>
      <c r="P35" s="109">
        <f t="shared" si="13"/>
        <v>8.8817841970012523E-16</v>
      </c>
      <c r="Q35" s="109">
        <f t="shared" si="13"/>
        <v>8.8817841970012523E-16</v>
      </c>
      <c r="R35" s="109">
        <f t="shared" si="13"/>
        <v>8.8817841970012523E-16</v>
      </c>
      <c r="S35" s="109">
        <f t="shared" si="13"/>
        <v>8.8817841970012523E-16</v>
      </c>
      <c r="T35" s="109">
        <f t="shared" si="13"/>
        <v>8.8817841970012523E-16</v>
      </c>
      <c r="U35" s="109">
        <f t="shared" si="13"/>
        <v>8.8817841970012523E-16</v>
      </c>
      <c r="V35" s="109">
        <f t="shared" si="13"/>
        <v>8.8817841970012523E-16</v>
      </c>
      <c r="W35" s="109">
        <f t="shared" si="13"/>
        <v>8.8817841970012523E-16</v>
      </c>
      <c r="X35" s="109">
        <f>X30+X31-SUM(X32:X34)</f>
        <v>8.8817841970012523E-16</v>
      </c>
      <c r="Y35" s="109">
        <f>Y30+Y31-SUM(Y32:Y34)</f>
        <v>8.8817841970012523E-16</v>
      </c>
      <c r="Z35" s="109">
        <f>Z30+Z31-SUM(Z32:Z34)</f>
        <v>8.8817841970012523E-16</v>
      </c>
      <c r="AA35" s="109">
        <f>AA30+AA31-SUM(AA32:AA34)</f>
        <v>8.8817841970012523E-16</v>
      </c>
    </row>
    <row r="36" spans="1:27" s="85" customFormat="1" outlineLevel="1" x14ac:dyDescent="0.25">
      <c r="A36" s="492"/>
      <c r="C36" s="493"/>
      <c r="D36" s="494"/>
      <c r="E36" s="494"/>
      <c r="F36" s="494"/>
      <c r="G36" s="494"/>
      <c r="H36" s="494"/>
      <c r="I36" s="494"/>
      <c r="J36" s="494"/>
      <c r="K36" s="494"/>
      <c r="L36" s="494"/>
      <c r="M36" s="494"/>
      <c r="N36" s="494"/>
      <c r="O36" s="494"/>
      <c r="P36" s="494"/>
      <c r="Q36" s="494"/>
      <c r="R36" s="494"/>
      <c r="S36" s="494"/>
      <c r="T36" s="494"/>
      <c r="U36" s="494"/>
      <c r="V36" s="494"/>
      <c r="W36" s="494"/>
      <c r="X36" s="494"/>
      <c r="Y36" s="494"/>
      <c r="Z36" s="494"/>
      <c r="AA36" s="494"/>
    </row>
    <row r="37" spans="1:27" s="85" customFormat="1" outlineLevel="1" x14ac:dyDescent="0.25">
      <c r="A37" s="492"/>
      <c r="C37" s="493"/>
      <c r="D37" s="494"/>
      <c r="E37" s="494"/>
      <c r="F37" s="494"/>
      <c r="G37" s="494"/>
      <c r="H37" s="494"/>
      <c r="I37" s="494"/>
      <c r="J37" s="494"/>
      <c r="K37" s="494"/>
      <c r="L37" s="494"/>
      <c r="M37" s="494"/>
      <c r="N37" s="494"/>
      <c r="O37" s="494"/>
      <c r="P37" s="494"/>
      <c r="Q37" s="494"/>
      <c r="R37" s="494"/>
      <c r="S37" s="494"/>
      <c r="T37" s="494"/>
      <c r="U37" s="494"/>
      <c r="V37" s="494"/>
      <c r="W37" s="494"/>
      <c r="X37" s="494"/>
      <c r="Y37" s="494"/>
      <c r="Z37" s="494"/>
      <c r="AA37" s="494"/>
    </row>
    <row r="38" spans="1:27" s="461" customFormat="1" outlineLevel="1" x14ac:dyDescent="0.25">
      <c r="A38" s="346" t="str">
        <f>'Data 2009-15 (Real $2008)'!A$154</f>
        <v>Remotely read interval meters &amp; transformers</v>
      </c>
      <c r="B38" s="460"/>
      <c r="C38" s="460"/>
      <c r="D38" s="84"/>
      <c r="E38" s="84"/>
      <c r="F38" s="84"/>
      <c r="G38" s="84"/>
    </row>
    <row r="39" spans="1:27" s="461" customFormat="1" outlineLevel="1" x14ac:dyDescent="0.25">
      <c r="A39" s="346" t="str">
        <f>$A$4</f>
        <v>($000 Real 2008)</v>
      </c>
      <c r="B39" s="409"/>
      <c r="C39" s="409"/>
      <c r="D39" s="468">
        <f>D$4</f>
        <v>2009</v>
      </c>
      <c r="E39" s="468">
        <f t="shared" ref="E39:AA39" si="14">E$4</f>
        <v>2010</v>
      </c>
      <c r="F39" s="468">
        <f t="shared" si="14"/>
        <v>2011</v>
      </c>
      <c r="G39" s="468">
        <f t="shared" si="14"/>
        <v>2012</v>
      </c>
      <c r="H39" s="468">
        <f t="shared" si="14"/>
        <v>2013</v>
      </c>
      <c r="I39" s="468">
        <f t="shared" si="14"/>
        <v>2014</v>
      </c>
      <c r="J39" s="468">
        <f t="shared" si="14"/>
        <v>2015</v>
      </c>
      <c r="K39" s="468">
        <f t="shared" si="14"/>
        <v>2016</v>
      </c>
      <c r="L39" s="468">
        <f t="shared" si="14"/>
        <v>2017</v>
      </c>
      <c r="M39" s="468">
        <f t="shared" si="14"/>
        <v>2018</v>
      </c>
      <c r="N39" s="468">
        <f t="shared" si="14"/>
        <v>2019</v>
      </c>
      <c r="O39" s="468">
        <f t="shared" si="14"/>
        <v>2020</v>
      </c>
      <c r="P39" s="468">
        <f t="shared" si="14"/>
        <v>2021</v>
      </c>
      <c r="Q39" s="468">
        <f t="shared" si="14"/>
        <v>2022</v>
      </c>
      <c r="R39" s="468">
        <f t="shared" si="14"/>
        <v>2023</v>
      </c>
      <c r="S39" s="468">
        <f t="shared" si="14"/>
        <v>2024</v>
      </c>
      <c r="T39" s="468">
        <f t="shared" si="14"/>
        <v>2025</v>
      </c>
      <c r="U39" s="468">
        <f t="shared" si="14"/>
        <v>2026</v>
      </c>
      <c r="V39" s="468">
        <f t="shared" si="14"/>
        <v>2027</v>
      </c>
      <c r="W39" s="468">
        <f t="shared" si="14"/>
        <v>2028</v>
      </c>
      <c r="X39" s="468">
        <f t="shared" si="14"/>
        <v>2029</v>
      </c>
      <c r="Y39" s="468">
        <f t="shared" si="14"/>
        <v>2030</v>
      </c>
      <c r="Z39" s="468">
        <f t="shared" si="14"/>
        <v>2031</v>
      </c>
      <c r="AA39" s="468">
        <f t="shared" si="14"/>
        <v>2032</v>
      </c>
    </row>
    <row r="40" spans="1:27" s="461" customFormat="1" outlineLevel="1" x14ac:dyDescent="0.25">
      <c r="A40" s="73" t="s">
        <v>315</v>
      </c>
      <c r="B40" s="73"/>
      <c r="C40" s="73"/>
      <c r="D40" s="82">
        <f>B136</f>
        <v>0</v>
      </c>
      <c r="E40" s="82">
        <f>D45</f>
        <v>1121.169209728929</v>
      </c>
      <c r="F40" s="82">
        <f t="shared" ref="F40:W40" si="15">E45</f>
        <v>28043.533968444175</v>
      </c>
      <c r="G40" s="82">
        <f t="shared" si="15"/>
        <v>97101.59644259185</v>
      </c>
      <c r="H40" s="82">
        <f t="shared" si="15"/>
        <v>167707.34070662878</v>
      </c>
      <c r="I40" s="82">
        <f t="shared" si="15"/>
        <v>234719.0090902978</v>
      </c>
      <c r="J40" s="82">
        <f t="shared" si="15"/>
        <v>248400.36558031832</v>
      </c>
      <c r="K40" s="82">
        <f t="shared" si="15"/>
        <v>233642.16327019234</v>
      </c>
      <c r="L40" s="82">
        <f t="shared" si="15"/>
        <v>213496.87639120786</v>
      </c>
      <c r="M40" s="82">
        <f t="shared" si="15"/>
        <v>193351.58951222338</v>
      </c>
      <c r="N40" s="82">
        <f t="shared" si="15"/>
        <v>173206.3026332389</v>
      </c>
      <c r="O40" s="82">
        <f t="shared" si="15"/>
        <v>153061.01575425442</v>
      </c>
      <c r="P40" s="82">
        <f t="shared" si="15"/>
        <v>132915.72887526994</v>
      </c>
      <c r="Q40" s="82">
        <f t="shared" si="15"/>
        <v>112770.44199628544</v>
      </c>
      <c r="R40" s="82">
        <f t="shared" si="15"/>
        <v>92625.15511730095</v>
      </c>
      <c r="S40" s="82">
        <f t="shared" si="15"/>
        <v>72479.868238316456</v>
      </c>
      <c r="T40" s="82">
        <f t="shared" si="15"/>
        <v>52373.242366563994</v>
      </c>
      <c r="U40" s="82">
        <f t="shared" si="15"/>
        <v>33236.301183877331</v>
      </c>
      <c r="V40" s="82">
        <f t="shared" si="15"/>
        <v>17478.570988275442</v>
      </c>
      <c r="W40" s="82">
        <f t="shared" si="15"/>
        <v>6839.4242445683922</v>
      </c>
      <c r="X40" s="82">
        <f>W45</f>
        <v>1601.3013945944331</v>
      </c>
      <c r="Y40" s="82">
        <f>X45</f>
        <v>173.7769215760386</v>
      </c>
      <c r="Z40" s="82">
        <f>Y45</f>
        <v>-4.3200998334214091E-11</v>
      </c>
      <c r="AA40" s="82">
        <f>Z45</f>
        <v>-4.3200998334214091E-11</v>
      </c>
    </row>
    <row r="41" spans="1:27" s="461" customFormat="1" outlineLevel="1" x14ac:dyDescent="0.25">
      <c r="A41" s="73" t="s">
        <v>316</v>
      </c>
      <c r="B41" s="73"/>
      <c r="C41" s="73"/>
      <c r="D41" s="82">
        <f>'Data 2009-15 (Real $2008)'!D12/10^3</f>
        <v>1159.830216960961</v>
      </c>
      <c r="E41" s="82">
        <f>'Data 2009-15 (Real $2008)'!E12/10^3</f>
        <v>27930.710455013079</v>
      </c>
      <c r="F41" s="82">
        <f>'Data 2009-15 (Real $2008)'!F12/10^3</f>
        <v>73445.619157530295</v>
      </c>
      <c r="G41" s="82">
        <f>'Data 2009-15 (Real $2008)'!G12/10^3</f>
        <v>80111.884399314353</v>
      </c>
      <c r="H41" s="82">
        <f>'Data 2009-15 (Real $2008)'!H12/10^3</f>
        <v>81918.832412679607</v>
      </c>
      <c r="I41" s="82">
        <f>'Data 2009-15 (Real $2008)'!I12/10^3</f>
        <v>32399.118895986627</v>
      </c>
      <c r="J41" s="82">
        <f>'Data 2009-15 (Real $2008)'!J12/10^3</f>
        <v>5213.3076472824459</v>
      </c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</row>
    <row r="42" spans="1:27" s="461" customFormat="1" outlineLevel="1" x14ac:dyDescent="0.25">
      <c r="A42" s="73" t="s">
        <v>4</v>
      </c>
      <c r="B42" s="73"/>
      <c r="C42" s="73"/>
      <c r="D42" s="82">
        <f>'Data 2009-15 (Real $2008)'!D36/10^3</f>
        <v>0</v>
      </c>
      <c r="E42" s="82">
        <f>'Data 2009-15 (Real $2008)'!E36/10^3</f>
        <v>0</v>
      </c>
      <c r="F42" s="82">
        <f>'Data 2009-15 (Real $2008)'!F36/10^3</f>
        <v>0</v>
      </c>
      <c r="G42" s="82">
        <f>'Data 2009-15 (Real $2008)'!G36/10^3</f>
        <v>0</v>
      </c>
      <c r="H42" s="82">
        <f>'Data 2009-15 (Real $2008)'!H36/10^3</f>
        <v>0</v>
      </c>
      <c r="I42" s="82">
        <f>'Data 2009-15 (Real $2008)'!I36/10^3</f>
        <v>0</v>
      </c>
      <c r="J42" s="82">
        <f>'Data 2009-15 (Real $2008)'!J36/10^3</f>
        <v>0</v>
      </c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</row>
    <row r="43" spans="1:27" s="461" customFormat="1" outlineLevel="1" x14ac:dyDescent="0.25">
      <c r="A43" s="84" t="s">
        <v>5</v>
      </c>
      <c r="B43" s="84"/>
      <c r="C43" s="84"/>
      <c r="D43" s="82">
        <f>'Data 2009-15 (Real $2008)'!D45/10^3</f>
        <v>0</v>
      </c>
      <c r="E43" s="82">
        <f>'Data 2009-15 (Real $2008)'!E45/10^3</f>
        <v>0</v>
      </c>
      <c r="F43" s="82">
        <f>'Data 2009-15 (Real $2008)'!F45/10^3</f>
        <v>0</v>
      </c>
      <c r="G43" s="82">
        <f>'Data 2009-15 (Real $2008)'!G45/10^3</f>
        <v>0</v>
      </c>
      <c r="H43" s="82">
        <f>'Data 2009-15 (Real $2008)'!H45/10^3</f>
        <v>0</v>
      </c>
      <c r="I43" s="82">
        <f>'Data 2009-15 (Real $2008)'!I45/10^3</f>
        <v>0</v>
      </c>
      <c r="J43" s="82">
        <f>'Data 2009-15 (Real $2008)'!J45/10^3</f>
        <v>0</v>
      </c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</row>
    <row r="44" spans="1:27" s="461" customFormat="1" outlineLevel="1" x14ac:dyDescent="0.25">
      <c r="A44" s="73" t="s">
        <v>137</v>
      </c>
      <c r="B44" s="73"/>
      <c r="C44" s="73"/>
      <c r="D44" s="82">
        <f>D136+D222</f>
        <v>38.661007232032034</v>
      </c>
      <c r="E44" s="82">
        <f t="shared" ref="E44:W44" si="16">E136+E222</f>
        <v>1008.3456962978333</v>
      </c>
      <c r="F44" s="82">
        <f t="shared" si="16"/>
        <v>4387.5566833826124</v>
      </c>
      <c r="G44" s="82">
        <f t="shared" si="16"/>
        <v>9506.1401352774337</v>
      </c>
      <c r="H44" s="82">
        <f t="shared" si="16"/>
        <v>14907.164029010566</v>
      </c>
      <c r="I44" s="82">
        <f t="shared" si="16"/>
        <v>18717.762405966107</v>
      </c>
      <c r="J44" s="82">
        <f t="shared" si="16"/>
        <v>19971.509957408409</v>
      </c>
      <c r="K44" s="82">
        <f t="shared" si="16"/>
        <v>20145.286878984491</v>
      </c>
      <c r="L44" s="82">
        <f t="shared" si="16"/>
        <v>20145.286878984491</v>
      </c>
      <c r="M44" s="82">
        <f t="shared" si="16"/>
        <v>20145.286878984491</v>
      </c>
      <c r="N44" s="82">
        <f t="shared" si="16"/>
        <v>20145.286878984491</v>
      </c>
      <c r="O44" s="82">
        <f t="shared" si="16"/>
        <v>20145.286878984491</v>
      </c>
      <c r="P44" s="82">
        <f t="shared" si="16"/>
        <v>20145.286878984491</v>
      </c>
      <c r="Q44" s="82">
        <f t="shared" si="16"/>
        <v>20145.286878984491</v>
      </c>
      <c r="R44" s="82">
        <f t="shared" si="16"/>
        <v>20145.286878984491</v>
      </c>
      <c r="S44" s="82">
        <f t="shared" si="16"/>
        <v>20106.625871752458</v>
      </c>
      <c r="T44" s="82">
        <f t="shared" si="16"/>
        <v>19136.941182686664</v>
      </c>
      <c r="U44" s="82">
        <f t="shared" si="16"/>
        <v>15757.730195601889</v>
      </c>
      <c r="V44" s="82">
        <f t="shared" si="16"/>
        <v>10639.14674370705</v>
      </c>
      <c r="W44" s="82">
        <f t="shared" si="16"/>
        <v>5238.1228499739591</v>
      </c>
      <c r="X44" s="82">
        <f>X136+X222</f>
        <v>1427.5244730183945</v>
      </c>
      <c r="Y44" s="82">
        <f>Y136+Y222</f>
        <v>173.7769215760818</v>
      </c>
      <c r="Z44" s="82">
        <f>Z136+Z222</f>
        <v>0</v>
      </c>
      <c r="AA44" s="82">
        <f>AA136+AA222</f>
        <v>0</v>
      </c>
    </row>
    <row r="45" spans="1:27" s="461" customFormat="1" outlineLevel="1" x14ac:dyDescent="0.25">
      <c r="A45" s="73" t="s">
        <v>317</v>
      </c>
      <c r="B45" s="73"/>
      <c r="C45" s="73"/>
      <c r="D45" s="109">
        <f t="shared" ref="D45:W45" si="17">D40+D41-SUM(D42:D44)</f>
        <v>1121.169209728929</v>
      </c>
      <c r="E45" s="109">
        <f t="shared" si="17"/>
        <v>28043.533968444175</v>
      </c>
      <c r="F45" s="109">
        <f t="shared" si="17"/>
        <v>97101.59644259185</v>
      </c>
      <c r="G45" s="109">
        <f t="shared" si="17"/>
        <v>167707.34070662878</v>
      </c>
      <c r="H45" s="109">
        <f t="shared" si="17"/>
        <v>234719.0090902978</v>
      </c>
      <c r="I45" s="109">
        <f t="shared" si="17"/>
        <v>248400.36558031832</v>
      </c>
      <c r="J45" s="109">
        <f t="shared" si="17"/>
        <v>233642.16327019234</v>
      </c>
      <c r="K45" s="109">
        <f t="shared" si="17"/>
        <v>213496.87639120786</v>
      </c>
      <c r="L45" s="109">
        <f t="shared" si="17"/>
        <v>193351.58951222338</v>
      </c>
      <c r="M45" s="109">
        <f t="shared" si="17"/>
        <v>173206.3026332389</v>
      </c>
      <c r="N45" s="109">
        <f t="shared" si="17"/>
        <v>153061.01575425442</v>
      </c>
      <c r="O45" s="109">
        <f t="shared" si="17"/>
        <v>132915.72887526994</v>
      </c>
      <c r="P45" s="109">
        <f t="shared" si="17"/>
        <v>112770.44199628544</v>
      </c>
      <c r="Q45" s="109">
        <f t="shared" si="17"/>
        <v>92625.15511730095</v>
      </c>
      <c r="R45" s="109">
        <f t="shared" si="17"/>
        <v>72479.868238316456</v>
      </c>
      <c r="S45" s="109">
        <f t="shared" si="17"/>
        <v>52373.242366563994</v>
      </c>
      <c r="T45" s="109">
        <f t="shared" si="17"/>
        <v>33236.301183877331</v>
      </c>
      <c r="U45" s="109">
        <f t="shared" si="17"/>
        <v>17478.570988275442</v>
      </c>
      <c r="V45" s="109">
        <f t="shared" si="17"/>
        <v>6839.4242445683922</v>
      </c>
      <c r="W45" s="109">
        <f t="shared" si="17"/>
        <v>1601.3013945944331</v>
      </c>
      <c r="X45" s="109">
        <f>X40+X41-SUM(X42:X44)</f>
        <v>173.7769215760386</v>
      </c>
      <c r="Y45" s="109">
        <f>Y40+Y41-SUM(Y42:Y44)</f>
        <v>-4.3200998334214091E-11</v>
      </c>
      <c r="Z45" s="109">
        <f>Z40+Z41-SUM(Z42:Z44)</f>
        <v>-4.3200998334214091E-11</v>
      </c>
      <c r="AA45" s="109">
        <f>AA40+AA41-SUM(AA42:AA44)</f>
        <v>-4.3200998334214091E-11</v>
      </c>
    </row>
    <row r="46" spans="1:27" s="85" customFormat="1" outlineLevel="1" x14ac:dyDescent="0.25">
      <c r="A46" s="492"/>
      <c r="C46" s="493"/>
      <c r="D46" s="494"/>
      <c r="E46" s="494"/>
      <c r="F46" s="494"/>
      <c r="G46" s="494"/>
      <c r="H46" s="494"/>
      <c r="I46" s="494"/>
      <c r="J46" s="494"/>
      <c r="K46" s="494"/>
      <c r="L46" s="494"/>
      <c r="M46" s="494"/>
      <c r="N46" s="494"/>
      <c r="O46" s="494"/>
      <c r="P46" s="494"/>
      <c r="Q46" s="494"/>
      <c r="R46" s="494"/>
      <c r="S46" s="494"/>
      <c r="T46" s="494"/>
      <c r="U46" s="494"/>
      <c r="V46" s="494"/>
      <c r="W46" s="494"/>
      <c r="X46" s="494"/>
      <c r="Y46" s="494"/>
      <c r="Z46" s="494"/>
      <c r="AA46" s="494"/>
    </row>
    <row r="47" spans="1:27" s="85" customFormat="1" outlineLevel="1" x14ac:dyDescent="0.25">
      <c r="A47" s="492"/>
      <c r="C47" s="493"/>
      <c r="D47" s="494"/>
      <c r="E47" s="494"/>
      <c r="F47" s="494"/>
      <c r="G47" s="494"/>
      <c r="H47" s="494"/>
      <c r="I47" s="494"/>
      <c r="J47" s="494"/>
      <c r="K47" s="494"/>
      <c r="L47" s="494"/>
      <c r="M47" s="494"/>
      <c r="N47" s="494"/>
      <c r="O47" s="494"/>
      <c r="P47" s="494"/>
      <c r="Q47" s="494"/>
      <c r="R47" s="494"/>
      <c r="S47" s="494"/>
      <c r="T47" s="494"/>
      <c r="U47" s="494"/>
      <c r="V47" s="494"/>
      <c r="W47" s="494"/>
      <c r="X47" s="494"/>
      <c r="Y47" s="494"/>
      <c r="Z47" s="494"/>
      <c r="AA47" s="494"/>
    </row>
    <row r="48" spans="1:27" s="461" customFormat="1" outlineLevel="1" x14ac:dyDescent="0.25">
      <c r="A48" s="346" t="s">
        <v>277</v>
      </c>
      <c r="B48" s="460"/>
      <c r="C48" s="460"/>
      <c r="D48" s="84"/>
      <c r="E48" s="84"/>
      <c r="F48" s="84"/>
      <c r="G48" s="84"/>
    </row>
    <row r="49" spans="1:27" s="461" customFormat="1" outlineLevel="1" x14ac:dyDescent="0.25">
      <c r="A49" s="346" t="str">
        <f>$A$4</f>
        <v>($000 Real 2008)</v>
      </c>
      <c r="B49" s="409"/>
      <c r="C49" s="409"/>
      <c r="D49" s="468">
        <f>D$4</f>
        <v>2009</v>
      </c>
      <c r="E49" s="468">
        <f t="shared" ref="E49:AA49" si="18">E$4</f>
        <v>2010</v>
      </c>
      <c r="F49" s="468">
        <f t="shared" si="18"/>
        <v>2011</v>
      </c>
      <c r="G49" s="468">
        <f t="shared" si="18"/>
        <v>2012</v>
      </c>
      <c r="H49" s="468">
        <f t="shared" si="18"/>
        <v>2013</v>
      </c>
      <c r="I49" s="468">
        <f t="shared" si="18"/>
        <v>2014</v>
      </c>
      <c r="J49" s="468">
        <f t="shared" si="18"/>
        <v>2015</v>
      </c>
      <c r="K49" s="468">
        <f t="shared" si="18"/>
        <v>2016</v>
      </c>
      <c r="L49" s="468">
        <f t="shared" si="18"/>
        <v>2017</v>
      </c>
      <c r="M49" s="468">
        <f t="shared" si="18"/>
        <v>2018</v>
      </c>
      <c r="N49" s="468">
        <f t="shared" si="18"/>
        <v>2019</v>
      </c>
      <c r="O49" s="468">
        <f t="shared" si="18"/>
        <v>2020</v>
      </c>
      <c r="P49" s="468">
        <f t="shared" si="18"/>
        <v>2021</v>
      </c>
      <c r="Q49" s="468">
        <f t="shared" si="18"/>
        <v>2022</v>
      </c>
      <c r="R49" s="468">
        <f t="shared" si="18"/>
        <v>2023</v>
      </c>
      <c r="S49" s="468">
        <f t="shared" si="18"/>
        <v>2024</v>
      </c>
      <c r="T49" s="468">
        <f t="shared" si="18"/>
        <v>2025</v>
      </c>
      <c r="U49" s="468">
        <f t="shared" si="18"/>
        <v>2026</v>
      </c>
      <c r="V49" s="468">
        <f t="shared" si="18"/>
        <v>2027</v>
      </c>
      <c r="W49" s="468">
        <f t="shared" si="18"/>
        <v>2028</v>
      </c>
      <c r="X49" s="468">
        <f t="shared" si="18"/>
        <v>2029</v>
      </c>
      <c r="Y49" s="468">
        <f t="shared" si="18"/>
        <v>2030</v>
      </c>
      <c r="Z49" s="468">
        <f t="shared" si="18"/>
        <v>2031</v>
      </c>
      <c r="AA49" s="468">
        <f t="shared" si="18"/>
        <v>2032</v>
      </c>
    </row>
    <row r="50" spans="1:27" s="461" customFormat="1" outlineLevel="1" x14ac:dyDescent="0.25">
      <c r="A50" s="73" t="s">
        <v>315</v>
      </c>
      <c r="B50" s="73"/>
      <c r="C50" s="73"/>
      <c r="D50" s="82">
        <f>B108+B144</f>
        <v>15865.005731412783</v>
      </c>
      <c r="E50" s="82">
        <f>D55</f>
        <v>36400.05692326343</v>
      </c>
      <c r="F50" s="82">
        <f t="shared" ref="F50:W50" si="19">E55</f>
        <v>63849.236443883616</v>
      </c>
      <c r="G50" s="82">
        <f t="shared" si="19"/>
        <v>72147.701351021067</v>
      </c>
      <c r="H50" s="82">
        <f t="shared" si="19"/>
        <v>78141.768325708763</v>
      </c>
      <c r="I50" s="82">
        <f t="shared" si="19"/>
        <v>68084.333376816809</v>
      </c>
      <c r="J50" s="82">
        <f t="shared" si="19"/>
        <v>63965.640016072794</v>
      </c>
      <c r="K50" s="82">
        <f t="shared" si="19"/>
        <v>77265.022960874208</v>
      </c>
      <c r="L50" s="82">
        <f t="shared" si="19"/>
        <v>55861.583702530123</v>
      </c>
      <c r="M50" s="82">
        <f t="shared" si="19"/>
        <v>38867.13209101047</v>
      </c>
      <c r="N50" s="82">
        <f t="shared" si="19"/>
        <v>26000.245199879275</v>
      </c>
      <c r="O50" s="82">
        <f t="shared" si="19"/>
        <v>16208.135043141061</v>
      </c>
      <c r="P50" s="82">
        <f t="shared" si="19"/>
        <v>8531.5423344185765</v>
      </c>
      <c r="Q50" s="82">
        <f t="shared" si="19"/>
        <v>2486.4766428963358</v>
      </c>
      <c r="R50" s="82">
        <f t="shared" si="19"/>
        <v>3.092281986027956E-11</v>
      </c>
      <c r="S50" s="82">
        <f t="shared" si="19"/>
        <v>3.092281986027956E-11</v>
      </c>
      <c r="T50" s="82">
        <f t="shared" si="19"/>
        <v>3.092281986027956E-11</v>
      </c>
      <c r="U50" s="82">
        <f t="shared" si="19"/>
        <v>3.092281986027956E-11</v>
      </c>
      <c r="V50" s="82">
        <f t="shared" si="19"/>
        <v>3.092281986027956E-11</v>
      </c>
      <c r="W50" s="82">
        <f t="shared" si="19"/>
        <v>3.092281986027956E-11</v>
      </c>
      <c r="X50" s="82">
        <f>W55</f>
        <v>3.092281986027956E-11</v>
      </c>
      <c r="Y50" s="82">
        <f>X55</f>
        <v>3.092281986027956E-11</v>
      </c>
      <c r="Z50" s="82">
        <f>Y55</f>
        <v>3.092281986027956E-11</v>
      </c>
      <c r="AA50" s="82">
        <f>Z55</f>
        <v>3.092281986027956E-11</v>
      </c>
    </row>
    <row r="51" spans="1:27" s="461" customFormat="1" outlineLevel="1" x14ac:dyDescent="0.25">
      <c r="A51" s="73" t="s">
        <v>316</v>
      </c>
      <c r="B51" s="73"/>
      <c r="C51" s="73"/>
      <c r="D51" s="82">
        <f>'Data 2009-15 (Real $2008)'!D13/10^3</f>
        <v>25201.355539974094</v>
      </c>
      <c r="E51" s="82">
        <f>'Data 2009-15 (Real $2008)'!E13/10^3</f>
        <v>36524.471515568075</v>
      </c>
      <c r="F51" s="82">
        <f>'Data 2009-15 (Real $2008)'!F13/10^3</f>
        <v>21261.434569870315</v>
      </c>
      <c r="G51" s="82">
        <f>'Data 2009-15 (Real $2008)'!G13/10^3</f>
        <v>21785.439711631407</v>
      </c>
      <c r="H51" s="82">
        <f>'Data 2009-15 (Real $2008)'!H13/10^3</f>
        <v>7831.8045605887964</v>
      </c>
      <c r="I51" s="82">
        <f>'Data 2009-15 (Real $2008)'!I13/10^3</f>
        <v>15009.573680214638</v>
      </c>
      <c r="J51" s="82">
        <f>'Data 2009-15 (Real $2008)'!J13/10^3</f>
        <v>34810.673000548355</v>
      </c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82"/>
    </row>
    <row r="52" spans="1:27" s="461" customFormat="1" outlineLevel="1" x14ac:dyDescent="0.25">
      <c r="A52" s="73" t="s">
        <v>4</v>
      </c>
      <c r="B52" s="73"/>
      <c r="C52" s="73"/>
      <c r="D52" s="82">
        <f>'Data 2009-15 (Real $2008)'!D37/10^3</f>
        <v>0</v>
      </c>
      <c r="E52" s="82">
        <f>'Data 2009-15 (Real $2008)'!E37/10^3</f>
        <v>0</v>
      </c>
      <c r="F52" s="82">
        <f>'Data 2009-15 (Real $2008)'!F37/10^3</f>
        <v>0</v>
      </c>
      <c r="G52" s="82">
        <f>'Data 2009-15 (Real $2008)'!G37/10^3</f>
        <v>0</v>
      </c>
      <c r="H52" s="82">
        <f>'Data 2009-15 (Real $2008)'!H37/10^3</f>
        <v>0</v>
      </c>
      <c r="I52" s="82">
        <f>'Data 2009-15 (Real $2008)'!I37/10^3</f>
        <v>0</v>
      </c>
      <c r="J52" s="82">
        <f>'Data 2009-15 (Real $2008)'!J37/10^3</f>
        <v>0</v>
      </c>
      <c r="K52" s="482"/>
      <c r="L52" s="482"/>
      <c r="M52" s="482"/>
      <c r="N52" s="482"/>
      <c r="O52" s="482"/>
      <c r="P52" s="482"/>
      <c r="Q52" s="482"/>
      <c r="R52" s="482"/>
      <c r="S52" s="482"/>
      <c r="T52" s="482"/>
      <c r="U52" s="482"/>
      <c r="V52" s="482"/>
      <c r="W52" s="482"/>
      <c r="X52" s="482"/>
      <c r="Y52" s="482"/>
      <c r="Z52" s="482"/>
      <c r="AA52" s="482"/>
    </row>
    <row r="53" spans="1:27" s="461" customFormat="1" outlineLevel="1" x14ac:dyDescent="0.25">
      <c r="A53" s="84" t="s">
        <v>5</v>
      </c>
      <c r="B53" s="84"/>
      <c r="C53" s="84"/>
      <c r="D53" s="82">
        <f>'Data 2009-15 (Real $2008)'!D46/10^3</f>
        <v>0</v>
      </c>
      <c r="E53" s="82">
        <f>'Data 2009-15 (Real $2008)'!E46/10^3</f>
        <v>0</v>
      </c>
      <c r="F53" s="82">
        <f>'Data 2009-15 (Real $2008)'!F46/10^3</f>
        <v>0</v>
      </c>
      <c r="G53" s="82">
        <f>'Data 2009-15 (Real $2008)'!G46/10^3</f>
        <v>0</v>
      </c>
      <c r="H53" s="82">
        <f>'Data 2009-15 (Real $2008)'!H46/10^3</f>
        <v>0</v>
      </c>
      <c r="I53" s="82">
        <f>'Data 2009-15 (Real $2008)'!I46/10^3</f>
        <v>0</v>
      </c>
      <c r="J53" s="82">
        <f>'Data 2009-15 (Real $2008)'!J46/10^3</f>
        <v>0</v>
      </c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</row>
    <row r="54" spans="1:27" s="461" customFormat="1" outlineLevel="1" x14ac:dyDescent="0.25">
      <c r="A54" s="73" t="s">
        <v>137</v>
      </c>
      <c r="B54" s="73"/>
      <c r="C54" s="73"/>
      <c r="D54" s="82">
        <f>D108+D144+D234</f>
        <v>4666.304348123449</v>
      </c>
      <c r="E54" s="82">
        <f t="shared" ref="E54:W54" si="20">E108+E144+E234</f>
        <v>9075.2919949478892</v>
      </c>
      <c r="F54" s="82">
        <f t="shared" si="20"/>
        <v>12962.969662732874</v>
      </c>
      <c r="G54" s="82">
        <f t="shared" si="20"/>
        <v>15791.372736943706</v>
      </c>
      <c r="H54" s="82">
        <f t="shared" si="20"/>
        <v>17889.239509480758</v>
      </c>
      <c r="I54" s="82">
        <f t="shared" si="20"/>
        <v>19128.267040958657</v>
      </c>
      <c r="J54" s="82">
        <f t="shared" si="20"/>
        <v>21511.29005574694</v>
      </c>
      <c r="K54" s="82">
        <f t="shared" si="20"/>
        <v>21403.439258344086</v>
      </c>
      <c r="L54" s="82">
        <f t="shared" si="20"/>
        <v>16994.451611519653</v>
      </c>
      <c r="M54" s="82">
        <f t="shared" si="20"/>
        <v>12866.886891131195</v>
      </c>
      <c r="N54" s="82">
        <f t="shared" si="20"/>
        <v>9792.1101567382138</v>
      </c>
      <c r="O54" s="82">
        <f t="shared" si="20"/>
        <v>7676.5927087224854</v>
      </c>
      <c r="P54" s="82">
        <f t="shared" si="20"/>
        <v>6045.0656915222407</v>
      </c>
      <c r="Q54" s="82">
        <f t="shared" si="20"/>
        <v>2486.4766428963048</v>
      </c>
      <c r="R54" s="82">
        <f t="shared" si="20"/>
        <v>0</v>
      </c>
      <c r="S54" s="82">
        <f t="shared" si="20"/>
        <v>0</v>
      </c>
      <c r="T54" s="82">
        <f t="shared" si="20"/>
        <v>0</v>
      </c>
      <c r="U54" s="82">
        <f t="shared" si="20"/>
        <v>0</v>
      </c>
      <c r="V54" s="82">
        <f t="shared" si="20"/>
        <v>0</v>
      </c>
      <c r="W54" s="82">
        <f t="shared" si="20"/>
        <v>0</v>
      </c>
      <c r="X54" s="82">
        <f>X108+X144+X234</f>
        <v>0</v>
      </c>
      <c r="Y54" s="82">
        <f>Y108+Y144+Y234</f>
        <v>0</v>
      </c>
      <c r="Z54" s="82">
        <f>Z108+Z144+Z234</f>
        <v>0</v>
      </c>
      <c r="AA54" s="82">
        <f>AA108+AA144+AA234</f>
        <v>0</v>
      </c>
    </row>
    <row r="55" spans="1:27" s="461" customFormat="1" outlineLevel="1" x14ac:dyDescent="0.25">
      <c r="A55" s="73" t="s">
        <v>317</v>
      </c>
      <c r="B55" s="73"/>
      <c r="C55" s="73"/>
      <c r="D55" s="109">
        <f t="shared" ref="D55:W55" si="21">D50+D51-SUM(D52:D54)</f>
        <v>36400.05692326343</v>
      </c>
      <c r="E55" s="109">
        <f t="shared" si="21"/>
        <v>63849.236443883616</v>
      </c>
      <c r="F55" s="109">
        <f t="shared" si="21"/>
        <v>72147.701351021067</v>
      </c>
      <c r="G55" s="109">
        <f t="shared" si="21"/>
        <v>78141.768325708763</v>
      </c>
      <c r="H55" s="109">
        <f t="shared" si="21"/>
        <v>68084.333376816809</v>
      </c>
      <c r="I55" s="109">
        <f t="shared" si="21"/>
        <v>63965.640016072794</v>
      </c>
      <c r="J55" s="109">
        <f t="shared" si="21"/>
        <v>77265.022960874208</v>
      </c>
      <c r="K55" s="109">
        <f t="shared" si="21"/>
        <v>55861.583702530123</v>
      </c>
      <c r="L55" s="109">
        <f t="shared" si="21"/>
        <v>38867.13209101047</v>
      </c>
      <c r="M55" s="109">
        <f t="shared" si="21"/>
        <v>26000.245199879275</v>
      </c>
      <c r="N55" s="109">
        <f t="shared" si="21"/>
        <v>16208.135043141061</v>
      </c>
      <c r="O55" s="109">
        <f t="shared" si="21"/>
        <v>8531.5423344185765</v>
      </c>
      <c r="P55" s="109">
        <f t="shared" si="21"/>
        <v>2486.4766428963358</v>
      </c>
      <c r="Q55" s="109">
        <f t="shared" si="21"/>
        <v>3.092281986027956E-11</v>
      </c>
      <c r="R55" s="109">
        <f t="shared" si="21"/>
        <v>3.092281986027956E-11</v>
      </c>
      <c r="S55" s="109">
        <f t="shared" si="21"/>
        <v>3.092281986027956E-11</v>
      </c>
      <c r="T55" s="109">
        <f t="shared" si="21"/>
        <v>3.092281986027956E-11</v>
      </c>
      <c r="U55" s="109">
        <f t="shared" si="21"/>
        <v>3.092281986027956E-11</v>
      </c>
      <c r="V55" s="109">
        <f t="shared" si="21"/>
        <v>3.092281986027956E-11</v>
      </c>
      <c r="W55" s="109">
        <f t="shared" si="21"/>
        <v>3.092281986027956E-11</v>
      </c>
      <c r="X55" s="109">
        <f>X50+X51-SUM(X52:X54)</f>
        <v>3.092281986027956E-11</v>
      </c>
      <c r="Y55" s="109">
        <f>Y50+Y51-SUM(Y52:Y54)</f>
        <v>3.092281986027956E-11</v>
      </c>
      <c r="Z55" s="109">
        <f>Z50+Z51-SUM(Z52:Z54)</f>
        <v>3.092281986027956E-11</v>
      </c>
      <c r="AA55" s="109">
        <f>AA50+AA51-SUM(AA52:AA54)</f>
        <v>3.092281986027956E-11</v>
      </c>
    </row>
    <row r="56" spans="1:27" s="85" customFormat="1" outlineLevel="1" x14ac:dyDescent="0.25">
      <c r="A56" s="492"/>
      <c r="C56" s="493"/>
      <c r="D56" s="494"/>
      <c r="E56" s="494"/>
      <c r="F56" s="494"/>
      <c r="G56" s="494"/>
      <c r="H56" s="494"/>
      <c r="I56" s="494"/>
      <c r="J56" s="494"/>
      <c r="K56" s="494"/>
      <c r="L56" s="494"/>
      <c r="M56" s="494"/>
      <c r="N56" s="494"/>
      <c r="O56" s="494"/>
      <c r="P56" s="494"/>
      <c r="Q56" s="494"/>
      <c r="R56" s="494"/>
      <c r="S56" s="494"/>
      <c r="T56" s="494"/>
      <c r="U56" s="494"/>
      <c r="V56" s="494"/>
      <c r="W56" s="494"/>
      <c r="X56" s="494"/>
      <c r="Y56" s="494"/>
      <c r="Z56" s="494"/>
      <c r="AA56" s="494"/>
    </row>
    <row r="57" spans="1:27" s="85" customFormat="1" outlineLevel="1" x14ac:dyDescent="0.25">
      <c r="A57" s="492"/>
      <c r="C57" s="493"/>
      <c r="D57" s="494"/>
      <c r="E57" s="494"/>
      <c r="F57" s="494"/>
      <c r="G57" s="494"/>
      <c r="H57" s="494"/>
      <c r="I57" s="494"/>
      <c r="J57" s="494"/>
      <c r="K57" s="494"/>
      <c r="L57" s="494"/>
      <c r="M57" s="494"/>
      <c r="N57" s="494"/>
      <c r="O57" s="494"/>
      <c r="P57" s="494"/>
      <c r="Q57" s="494"/>
      <c r="R57" s="494"/>
      <c r="S57" s="494"/>
      <c r="T57" s="494"/>
      <c r="U57" s="494"/>
      <c r="V57" s="494"/>
      <c r="W57" s="494"/>
      <c r="X57" s="494"/>
      <c r="Y57" s="494"/>
      <c r="Z57" s="494"/>
      <c r="AA57" s="494"/>
    </row>
    <row r="58" spans="1:27" s="461" customFormat="1" outlineLevel="1" x14ac:dyDescent="0.25">
      <c r="A58" s="346" t="s">
        <v>279</v>
      </c>
      <c r="B58" s="460"/>
      <c r="C58" s="460"/>
      <c r="D58" s="84"/>
      <c r="E58" s="84"/>
      <c r="F58" s="84"/>
      <c r="G58" s="84"/>
    </row>
    <row r="59" spans="1:27" s="461" customFormat="1" outlineLevel="1" x14ac:dyDescent="0.25">
      <c r="A59" s="346" t="str">
        <f>$A$4</f>
        <v>($000 Real 2008)</v>
      </c>
      <c r="B59" s="409"/>
      <c r="C59" s="409"/>
      <c r="D59" s="468">
        <f>D$4</f>
        <v>2009</v>
      </c>
      <c r="E59" s="468">
        <f t="shared" ref="E59:AA59" si="22">E$4</f>
        <v>2010</v>
      </c>
      <c r="F59" s="468">
        <f t="shared" si="22"/>
        <v>2011</v>
      </c>
      <c r="G59" s="468">
        <f t="shared" si="22"/>
        <v>2012</v>
      </c>
      <c r="H59" s="468">
        <f t="shared" si="22"/>
        <v>2013</v>
      </c>
      <c r="I59" s="468">
        <f t="shared" si="22"/>
        <v>2014</v>
      </c>
      <c r="J59" s="468">
        <f t="shared" si="22"/>
        <v>2015</v>
      </c>
      <c r="K59" s="468">
        <f t="shared" si="22"/>
        <v>2016</v>
      </c>
      <c r="L59" s="468">
        <f t="shared" si="22"/>
        <v>2017</v>
      </c>
      <c r="M59" s="468">
        <f t="shared" si="22"/>
        <v>2018</v>
      </c>
      <c r="N59" s="468">
        <f t="shared" si="22"/>
        <v>2019</v>
      </c>
      <c r="O59" s="468">
        <f t="shared" si="22"/>
        <v>2020</v>
      </c>
      <c r="P59" s="468">
        <f t="shared" si="22"/>
        <v>2021</v>
      </c>
      <c r="Q59" s="468">
        <f t="shared" si="22"/>
        <v>2022</v>
      </c>
      <c r="R59" s="468">
        <f t="shared" si="22"/>
        <v>2023</v>
      </c>
      <c r="S59" s="468">
        <f t="shared" si="22"/>
        <v>2024</v>
      </c>
      <c r="T59" s="468">
        <f t="shared" si="22"/>
        <v>2025</v>
      </c>
      <c r="U59" s="468">
        <f t="shared" si="22"/>
        <v>2026</v>
      </c>
      <c r="V59" s="468">
        <f t="shared" si="22"/>
        <v>2027</v>
      </c>
      <c r="W59" s="468">
        <f t="shared" si="22"/>
        <v>2028</v>
      </c>
      <c r="X59" s="468">
        <f t="shared" si="22"/>
        <v>2029</v>
      </c>
      <c r="Y59" s="468">
        <f t="shared" si="22"/>
        <v>2030</v>
      </c>
      <c r="Z59" s="468">
        <f t="shared" si="22"/>
        <v>2031</v>
      </c>
      <c r="AA59" s="468">
        <f t="shared" si="22"/>
        <v>2032</v>
      </c>
    </row>
    <row r="60" spans="1:27" s="461" customFormat="1" outlineLevel="1" x14ac:dyDescent="0.25">
      <c r="A60" s="73" t="s">
        <v>315</v>
      </c>
      <c r="B60" s="73"/>
      <c r="C60" s="73"/>
      <c r="D60" s="82">
        <f>B152</f>
        <v>0</v>
      </c>
      <c r="E60" s="82">
        <f>D65</f>
        <v>785.93860341570144</v>
      </c>
      <c r="F60" s="82">
        <f t="shared" ref="F60:W60" si="23">E65</f>
        <v>8314.1128120379435</v>
      </c>
      <c r="G60" s="82">
        <f t="shared" si="23"/>
        <v>14630.140427895618</v>
      </c>
      <c r="H60" s="82">
        <f t="shared" si="23"/>
        <v>32547.465967319142</v>
      </c>
      <c r="I60" s="82">
        <f t="shared" si="23"/>
        <v>42086.30717495401</v>
      </c>
      <c r="J60" s="82">
        <f t="shared" si="23"/>
        <v>37678.46228805132</v>
      </c>
      <c r="K60" s="82">
        <f t="shared" si="23"/>
        <v>36487.681341639589</v>
      </c>
      <c r="L60" s="82">
        <f t="shared" si="23"/>
        <v>26949.06323327549</v>
      </c>
      <c r="M60" s="82">
        <f t="shared" si="23"/>
        <v>18059.293312860056</v>
      </c>
      <c r="N60" s="82">
        <f t="shared" si="23"/>
        <v>10343.585841034779</v>
      </c>
      <c r="O60" s="82">
        <f t="shared" si="23"/>
        <v>4781.7312968751585</v>
      </c>
      <c r="P60" s="82">
        <f t="shared" si="23"/>
        <v>1953.000407081855</v>
      </c>
      <c r="Q60" s="82">
        <f t="shared" si="23"/>
        <v>560.55293183997105</v>
      </c>
      <c r="R60" s="82">
        <f t="shared" si="23"/>
        <v>-1.1141310096718371E-11</v>
      </c>
      <c r="S60" s="82">
        <f t="shared" si="23"/>
        <v>-1.1141310096718371E-11</v>
      </c>
      <c r="T60" s="82">
        <f t="shared" si="23"/>
        <v>-1.1141310096718371E-11</v>
      </c>
      <c r="U60" s="82">
        <f t="shared" si="23"/>
        <v>-1.1141310096718371E-11</v>
      </c>
      <c r="V60" s="82">
        <f t="shared" si="23"/>
        <v>-1.1141310096718371E-11</v>
      </c>
      <c r="W60" s="82">
        <f t="shared" si="23"/>
        <v>-1.1141310096718371E-11</v>
      </c>
      <c r="X60" s="82">
        <f>W65</f>
        <v>-1.1141310096718371E-11</v>
      </c>
      <c r="Y60" s="82">
        <f>X65</f>
        <v>-1.1141310096718371E-11</v>
      </c>
      <c r="Z60" s="82">
        <f>Y65</f>
        <v>-1.1141310096718371E-11</v>
      </c>
      <c r="AA60" s="82">
        <f>Z65</f>
        <v>-1.1141310096718371E-11</v>
      </c>
    </row>
    <row r="61" spans="1:27" s="461" customFormat="1" outlineLevel="1" x14ac:dyDescent="0.25">
      <c r="A61" s="73" t="s">
        <v>316</v>
      </c>
      <c r="B61" s="73"/>
      <c r="C61" s="73"/>
      <c r="D61" s="82">
        <f>'Data 2009-15 (Real $2008)'!D14/10^3</f>
        <v>846.39541906306306</v>
      </c>
      <c r="E61" s="82">
        <f>'Data 2009-15 (Real $2008)'!E14/10^3</f>
        <v>8237.4792122182698</v>
      </c>
      <c r="F61" s="82">
        <f>'Data 2009-15 (Real $2008)'!F14/10^3</f>
        <v>8199.3950680438538</v>
      </c>
      <c r="G61" s="82">
        <f>'Data 2009-15 (Real $2008)'!G14/10^3</f>
        <v>21954.545919275366</v>
      </c>
      <c r="H61" s="82">
        <f>'Data 2009-15 (Real $2008)'!H14/10^3</f>
        <v>16309.185241853025</v>
      </c>
      <c r="I61" s="82">
        <f>'Data 2009-15 (Real $2008)'!I14/10^3</f>
        <v>3798.7825618668885</v>
      </c>
      <c r="J61" s="82">
        <f>'Data 2009-15 (Real $2008)'!J14/10^3</f>
        <v>7847.7410457597452</v>
      </c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</row>
    <row r="62" spans="1:27" s="461" customFormat="1" outlineLevel="1" x14ac:dyDescent="0.25">
      <c r="A62" s="73" t="s">
        <v>4</v>
      </c>
      <c r="B62" s="73"/>
      <c r="C62" s="73"/>
      <c r="D62" s="82">
        <f>'Data 2009-15 (Real $2008)'!D38/10^3</f>
        <v>0</v>
      </c>
      <c r="E62" s="82">
        <f>'Data 2009-15 (Real $2008)'!E38/10^3</f>
        <v>0</v>
      </c>
      <c r="F62" s="82">
        <f>'Data 2009-15 (Real $2008)'!F38/10^3</f>
        <v>0</v>
      </c>
      <c r="G62" s="82">
        <f>'Data 2009-15 (Real $2008)'!G38/10^3</f>
        <v>0</v>
      </c>
      <c r="H62" s="82">
        <f>'Data 2009-15 (Real $2008)'!H38/10^3</f>
        <v>0</v>
      </c>
      <c r="I62" s="82">
        <f>'Data 2009-15 (Real $2008)'!I38/10^3</f>
        <v>0</v>
      </c>
      <c r="J62" s="82">
        <f>'Data 2009-15 (Real $2008)'!J38/10^3</f>
        <v>0</v>
      </c>
      <c r="K62" s="482"/>
      <c r="L62" s="482"/>
      <c r="M62" s="482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</row>
    <row r="63" spans="1:27" s="461" customFormat="1" outlineLevel="1" x14ac:dyDescent="0.25">
      <c r="A63" s="84" t="s">
        <v>5</v>
      </c>
      <c r="B63" s="84"/>
      <c r="C63" s="84"/>
      <c r="D63" s="82">
        <f>'Data 2009-15 (Real $2008)'!D47/10^3</f>
        <v>0</v>
      </c>
      <c r="E63" s="82">
        <f>'Data 2009-15 (Real $2008)'!E47/10^3</f>
        <v>0</v>
      </c>
      <c r="F63" s="82">
        <f>'Data 2009-15 (Real $2008)'!F47/10^3</f>
        <v>0</v>
      </c>
      <c r="G63" s="82">
        <f>'Data 2009-15 (Real $2008)'!G47/10^3</f>
        <v>0</v>
      </c>
      <c r="H63" s="82">
        <f>'Data 2009-15 (Real $2008)'!H47/10^3</f>
        <v>0</v>
      </c>
      <c r="I63" s="82">
        <f>'Data 2009-15 (Real $2008)'!I47/10^3</f>
        <v>0</v>
      </c>
      <c r="J63" s="82">
        <f>'Data 2009-15 (Real $2008)'!J47/10^3</f>
        <v>0</v>
      </c>
      <c r="K63" s="482"/>
      <c r="L63" s="482"/>
      <c r="M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</row>
    <row r="64" spans="1:27" s="461" customFormat="1" outlineLevel="1" x14ac:dyDescent="0.25">
      <c r="A64" s="73" t="s">
        <v>137</v>
      </c>
      <c r="B64" s="73"/>
      <c r="C64" s="73"/>
      <c r="D64" s="82">
        <f>D152+D246</f>
        <v>60.456815647361644</v>
      </c>
      <c r="E64" s="82">
        <f t="shared" ref="E64:W64" si="24">E152+E246</f>
        <v>709.3050035960282</v>
      </c>
      <c r="F64" s="82">
        <f t="shared" si="24"/>
        <v>1883.3674521861799</v>
      </c>
      <c r="G64" s="82">
        <f t="shared" si="24"/>
        <v>4037.2203798518385</v>
      </c>
      <c r="H64" s="82">
        <f t="shared" si="24"/>
        <v>6770.344034218153</v>
      </c>
      <c r="I64" s="82">
        <f t="shared" si="24"/>
        <v>8206.6274487695755</v>
      </c>
      <c r="J64" s="82">
        <f t="shared" si="24"/>
        <v>9038.5219921714779</v>
      </c>
      <c r="K64" s="82">
        <f t="shared" si="24"/>
        <v>9538.6181083640986</v>
      </c>
      <c r="L64" s="82">
        <f t="shared" si="24"/>
        <v>8889.7699204154324</v>
      </c>
      <c r="M64" s="82">
        <f t="shared" si="24"/>
        <v>7715.707471825277</v>
      </c>
      <c r="N64" s="82">
        <f t="shared" si="24"/>
        <v>5561.8545441596207</v>
      </c>
      <c r="O64" s="82">
        <f t="shared" si="24"/>
        <v>2828.7308897933035</v>
      </c>
      <c r="P64" s="82">
        <f t="shared" si="24"/>
        <v>1392.4474752418839</v>
      </c>
      <c r="Q64" s="82">
        <f t="shared" si="24"/>
        <v>560.55293183998219</v>
      </c>
      <c r="R64" s="82">
        <f t="shared" si="24"/>
        <v>0</v>
      </c>
      <c r="S64" s="82">
        <f t="shared" si="24"/>
        <v>0</v>
      </c>
      <c r="T64" s="82">
        <f t="shared" si="24"/>
        <v>0</v>
      </c>
      <c r="U64" s="82">
        <f t="shared" si="24"/>
        <v>0</v>
      </c>
      <c r="V64" s="82">
        <f t="shared" si="24"/>
        <v>0</v>
      </c>
      <c r="W64" s="82">
        <f t="shared" si="24"/>
        <v>0</v>
      </c>
      <c r="X64" s="82">
        <f>X152+X246</f>
        <v>0</v>
      </c>
      <c r="Y64" s="82">
        <f>Y152+Y246</f>
        <v>0</v>
      </c>
      <c r="Z64" s="82">
        <f>Z152+Z246</f>
        <v>0</v>
      </c>
      <c r="AA64" s="82">
        <f>AA152+AA246</f>
        <v>0</v>
      </c>
    </row>
    <row r="65" spans="1:27" s="461" customFormat="1" outlineLevel="1" x14ac:dyDescent="0.25">
      <c r="A65" s="73" t="s">
        <v>317</v>
      </c>
      <c r="B65" s="73"/>
      <c r="C65" s="73"/>
      <c r="D65" s="109">
        <f t="shared" ref="D65:W65" si="25">D60+D61-SUM(D62:D64)</f>
        <v>785.93860341570144</v>
      </c>
      <c r="E65" s="109">
        <f t="shared" si="25"/>
        <v>8314.1128120379435</v>
      </c>
      <c r="F65" s="109">
        <f t="shared" si="25"/>
        <v>14630.140427895618</v>
      </c>
      <c r="G65" s="109">
        <f t="shared" si="25"/>
        <v>32547.465967319142</v>
      </c>
      <c r="H65" s="109">
        <f t="shared" si="25"/>
        <v>42086.30717495401</v>
      </c>
      <c r="I65" s="109">
        <f t="shared" si="25"/>
        <v>37678.46228805132</v>
      </c>
      <c r="J65" s="109">
        <f t="shared" si="25"/>
        <v>36487.681341639589</v>
      </c>
      <c r="K65" s="109">
        <f t="shared" si="25"/>
        <v>26949.06323327549</v>
      </c>
      <c r="L65" s="109">
        <f t="shared" si="25"/>
        <v>18059.293312860056</v>
      </c>
      <c r="M65" s="109">
        <f t="shared" si="25"/>
        <v>10343.585841034779</v>
      </c>
      <c r="N65" s="109">
        <f t="shared" si="25"/>
        <v>4781.7312968751585</v>
      </c>
      <c r="O65" s="109">
        <f t="shared" si="25"/>
        <v>1953.000407081855</v>
      </c>
      <c r="P65" s="109">
        <f t="shared" si="25"/>
        <v>560.55293183997105</v>
      </c>
      <c r="Q65" s="109">
        <f t="shared" si="25"/>
        <v>-1.1141310096718371E-11</v>
      </c>
      <c r="R65" s="109">
        <f t="shared" si="25"/>
        <v>-1.1141310096718371E-11</v>
      </c>
      <c r="S65" s="109">
        <f t="shared" si="25"/>
        <v>-1.1141310096718371E-11</v>
      </c>
      <c r="T65" s="109">
        <f t="shared" si="25"/>
        <v>-1.1141310096718371E-11</v>
      </c>
      <c r="U65" s="109">
        <f t="shared" si="25"/>
        <v>-1.1141310096718371E-11</v>
      </c>
      <c r="V65" s="109">
        <f t="shared" si="25"/>
        <v>-1.1141310096718371E-11</v>
      </c>
      <c r="W65" s="109">
        <f t="shared" si="25"/>
        <v>-1.1141310096718371E-11</v>
      </c>
      <c r="X65" s="109">
        <f>X60+X61-SUM(X62:X64)</f>
        <v>-1.1141310096718371E-11</v>
      </c>
      <c r="Y65" s="109">
        <f>Y60+Y61-SUM(Y62:Y64)</f>
        <v>-1.1141310096718371E-11</v>
      </c>
      <c r="Z65" s="109">
        <f>Z60+Z61-SUM(Z62:Z64)</f>
        <v>-1.1141310096718371E-11</v>
      </c>
      <c r="AA65" s="109">
        <f>AA60+AA61-SUM(AA62:AA64)</f>
        <v>-1.1141310096718371E-11</v>
      </c>
    </row>
    <row r="66" spans="1:27" s="85" customFormat="1" outlineLevel="1" x14ac:dyDescent="0.25">
      <c r="A66" s="492"/>
      <c r="C66" s="493"/>
      <c r="D66" s="494"/>
      <c r="E66" s="494"/>
      <c r="F66" s="494"/>
      <c r="G66" s="494"/>
      <c r="H66" s="494"/>
      <c r="I66" s="494"/>
      <c r="J66" s="494"/>
      <c r="K66" s="494"/>
      <c r="L66" s="494"/>
      <c r="M66" s="494"/>
      <c r="N66" s="494"/>
      <c r="O66" s="494"/>
      <c r="P66" s="494"/>
      <c r="Q66" s="494"/>
      <c r="R66" s="494"/>
      <c r="S66" s="494"/>
      <c r="T66" s="494"/>
      <c r="U66" s="494"/>
      <c r="V66" s="494"/>
      <c r="W66" s="494"/>
      <c r="X66" s="494"/>
      <c r="Y66" s="494"/>
      <c r="Z66" s="494"/>
      <c r="AA66" s="494"/>
    </row>
    <row r="67" spans="1:27" s="85" customFormat="1" outlineLevel="1" x14ac:dyDescent="0.25">
      <c r="A67" s="492"/>
      <c r="C67" s="493"/>
      <c r="D67" s="494"/>
      <c r="E67" s="494"/>
      <c r="F67" s="494"/>
      <c r="G67" s="494"/>
      <c r="H67" s="494"/>
      <c r="I67" s="494"/>
      <c r="J67" s="494"/>
      <c r="K67" s="494"/>
      <c r="L67" s="494"/>
      <c r="M67" s="494"/>
      <c r="N67" s="494"/>
      <c r="O67" s="494"/>
      <c r="P67" s="494"/>
      <c r="Q67" s="494"/>
      <c r="R67" s="494"/>
      <c r="S67" s="494"/>
      <c r="T67" s="494"/>
      <c r="U67" s="494"/>
      <c r="V67" s="494"/>
      <c r="W67" s="494"/>
      <c r="X67" s="494"/>
      <c r="Y67" s="494"/>
      <c r="Z67" s="494"/>
      <c r="AA67" s="494"/>
    </row>
    <row r="68" spans="1:27" s="461" customFormat="1" outlineLevel="1" x14ac:dyDescent="0.25">
      <c r="A68" s="346" t="s">
        <v>278</v>
      </c>
      <c r="B68" s="460"/>
      <c r="C68" s="460"/>
      <c r="D68" s="84"/>
      <c r="E68" s="84"/>
      <c r="F68" s="84"/>
      <c r="G68" s="84"/>
    </row>
    <row r="69" spans="1:27" s="461" customFormat="1" outlineLevel="1" x14ac:dyDescent="0.25">
      <c r="A69" s="346" t="str">
        <f>$A$4</f>
        <v>($000 Real 2008)</v>
      </c>
      <c r="B69" s="409"/>
      <c r="C69" s="409"/>
      <c r="D69" s="468">
        <f>D$4</f>
        <v>2009</v>
      </c>
      <c r="E69" s="468">
        <f t="shared" ref="E69:AA69" si="26">E$4</f>
        <v>2010</v>
      </c>
      <c r="F69" s="468">
        <f t="shared" si="26"/>
        <v>2011</v>
      </c>
      <c r="G69" s="468">
        <f t="shared" si="26"/>
        <v>2012</v>
      </c>
      <c r="H69" s="468">
        <f t="shared" si="26"/>
        <v>2013</v>
      </c>
      <c r="I69" s="468">
        <f t="shared" si="26"/>
        <v>2014</v>
      </c>
      <c r="J69" s="468">
        <f t="shared" si="26"/>
        <v>2015</v>
      </c>
      <c r="K69" s="468">
        <f t="shared" si="26"/>
        <v>2016</v>
      </c>
      <c r="L69" s="468">
        <f t="shared" si="26"/>
        <v>2017</v>
      </c>
      <c r="M69" s="468">
        <f t="shared" si="26"/>
        <v>2018</v>
      </c>
      <c r="N69" s="468">
        <f t="shared" si="26"/>
        <v>2019</v>
      </c>
      <c r="O69" s="468">
        <f t="shared" si="26"/>
        <v>2020</v>
      </c>
      <c r="P69" s="468">
        <f t="shared" si="26"/>
        <v>2021</v>
      </c>
      <c r="Q69" s="468">
        <f t="shared" si="26"/>
        <v>2022</v>
      </c>
      <c r="R69" s="468">
        <f t="shared" si="26"/>
        <v>2023</v>
      </c>
      <c r="S69" s="468">
        <f t="shared" si="26"/>
        <v>2024</v>
      </c>
      <c r="T69" s="468">
        <f t="shared" si="26"/>
        <v>2025</v>
      </c>
      <c r="U69" s="468">
        <f t="shared" si="26"/>
        <v>2026</v>
      </c>
      <c r="V69" s="468">
        <f t="shared" si="26"/>
        <v>2027</v>
      </c>
      <c r="W69" s="468">
        <f t="shared" si="26"/>
        <v>2028</v>
      </c>
      <c r="X69" s="468">
        <f t="shared" si="26"/>
        <v>2029</v>
      </c>
      <c r="Y69" s="468">
        <f t="shared" si="26"/>
        <v>2030</v>
      </c>
      <c r="Z69" s="468">
        <f t="shared" si="26"/>
        <v>2031</v>
      </c>
      <c r="AA69" s="468">
        <f t="shared" si="26"/>
        <v>2032</v>
      </c>
    </row>
    <row r="70" spans="1:27" s="461" customFormat="1" outlineLevel="1" x14ac:dyDescent="0.25">
      <c r="A70" s="73" t="s">
        <v>315</v>
      </c>
      <c r="B70" s="73"/>
      <c r="C70" s="73"/>
      <c r="D70" s="82">
        <f>B116+B160</f>
        <v>199.3930604228442</v>
      </c>
      <c r="E70" s="82">
        <f>D75</f>
        <v>128.97567768139453</v>
      </c>
      <c r="F70" s="82">
        <f t="shared" ref="F70:W70" si="27">E75</f>
        <v>58.558294939944872</v>
      </c>
      <c r="G70" s="82">
        <f t="shared" si="27"/>
        <v>11.674801784610025</v>
      </c>
      <c r="H70" s="82">
        <f t="shared" si="27"/>
        <v>0</v>
      </c>
      <c r="I70" s="82">
        <f t="shared" si="27"/>
        <v>0</v>
      </c>
      <c r="J70" s="82">
        <f t="shared" si="27"/>
        <v>0</v>
      </c>
      <c r="K70" s="82">
        <f t="shared" si="27"/>
        <v>0</v>
      </c>
      <c r="L70" s="82">
        <f t="shared" si="27"/>
        <v>0</v>
      </c>
      <c r="M70" s="82">
        <f t="shared" si="27"/>
        <v>0</v>
      </c>
      <c r="N70" s="82">
        <f t="shared" si="27"/>
        <v>0</v>
      </c>
      <c r="O70" s="82">
        <f t="shared" si="27"/>
        <v>0</v>
      </c>
      <c r="P70" s="82">
        <f t="shared" si="27"/>
        <v>0</v>
      </c>
      <c r="Q70" s="82">
        <f t="shared" si="27"/>
        <v>0</v>
      </c>
      <c r="R70" s="82">
        <f t="shared" si="27"/>
        <v>0</v>
      </c>
      <c r="S70" s="82">
        <f t="shared" si="27"/>
        <v>0</v>
      </c>
      <c r="T70" s="82">
        <f t="shared" si="27"/>
        <v>0</v>
      </c>
      <c r="U70" s="82">
        <f t="shared" si="27"/>
        <v>0</v>
      </c>
      <c r="V70" s="82">
        <f t="shared" si="27"/>
        <v>0</v>
      </c>
      <c r="W70" s="82">
        <f t="shared" si="27"/>
        <v>0</v>
      </c>
      <c r="X70" s="82">
        <f>W75</f>
        <v>0</v>
      </c>
      <c r="Y70" s="82">
        <f>X75</f>
        <v>0</v>
      </c>
      <c r="Z70" s="82">
        <f>Y75</f>
        <v>0</v>
      </c>
      <c r="AA70" s="82">
        <f>Z75</f>
        <v>0</v>
      </c>
    </row>
    <row r="71" spans="1:27" s="461" customFormat="1" outlineLevel="1" x14ac:dyDescent="0.25">
      <c r="A71" s="73" t="s">
        <v>316</v>
      </c>
      <c r="B71" s="73"/>
      <c r="C71" s="73"/>
      <c r="D71" s="82">
        <f>'Data 2009-15 (Real $2008)'!D15/10^3</f>
        <v>0</v>
      </c>
      <c r="E71" s="82">
        <f>'Data 2009-15 (Real $2008)'!E15/10^3</f>
        <v>0</v>
      </c>
      <c r="F71" s="82">
        <f>'Data 2009-15 (Real $2008)'!F15/10^3</f>
        <v>0</v>
      </c>
      <c r="G71" s="82">
        <f>'Data 2009-15 (Real $2008)'!G15/10^3</f>
        <v>0</v>
      </c>
      <c r="H71" s="82">
        <f>'Data 2009-15 (Real $2008)'!H15/10^3</f>
        <v>0</v>
      </c>
      <c r="I71" s="82">
        <f>'Data 2009-15 (Real $2008)'!I15/10^3</f>
        <v>0</v>
      </c>
      <c r="J71" s="82">
        <f>'Data 2009-15 (Real $2008)'!J15/10^3</f>
        <v>0</v>
      </c>
      <c r="K71" s="482"/>
      <c r="L71" s="482"/>
      <c r="M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</row>
    <row r="72" spans="1:27" s="461" customFormat="1" outlineLevel="1" x14ac:dyDescent="0.25">
      <c r="A72" s="73" t="s">
        <v>4</v>
      </c>
      <c r="B72" s="73"/>
      <c r="C72" s="73"/>
      <c r="D72" s="82">
        <f>'Data 2009-15 (Real $2008)'!D39/10^3</f>
        <v>0</v>
      </c>
      <c r="E72" s="82">
        <f>'Data 2009-15 (Real $2008)'!E39/10^3</f>
        <v>0</v>
      </c>
      <c r="F72" s="82">
        <f>'Data 2009-15 (Real $2008)'!F39/10^3</f>
        <v>0</v>
      </c>
      <c r="G72" s="82">
        <f>'Data 2009-15 (Real $2008)'!G39/10^3</f>
        <v>0</v>
      </c>
      <c r="H72" s="82">
        <f>'Data 2009-15 (Real $2008)'!H39/10^3</f>
        <v>0</v>
      </c>
      <c r="I72" s="82">
        <f>'Data 2009-15 (Real $2008)'!I39/10^3</f>
        <v>0</v>
      </c>
      <c r="J72" s="82">
        <f>'Data 2009-15 (Real $2008)'!J39/10^3</f>
        <v>0</v>
      </c>
      <c r="K72" s="482"/>
      <c r="L72" s="482"/>
      <c r="M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</row>
    <row r="73" spans="1:27" s="461" customFormat="1" outlineLevel="1" x14ac:dyDescent="0.25">
      <c r="A73" s="84" t="s">
        <v>5</v>
      </c>
      <c r="B73" s="84"/>
      <c r="C73" s="84"/>
      <c r="D73" s="82">
        <f>'Data 2009-15 (Real $2008)'!D48/10^3</f>
        <v>0</v>
      </c>
      <c r="E73" s="82">
        <f>'Data 2009-15 (Real $2008)'!E48/10^3</f>
        <v>0</v>
      </c>
      <c r="F73" s="82">
        <f>'Data 2009-15 (Real $2008)'!F48/10^3</f>
        <v>0</v>
      </c>
      <c r="G73" s="82">
        <f>'Data 2009-15 (Real $2008)'!G48/10^3</f>
        <v>0</v>
      </c>
      <c r="H73" s="82">
        <f>'Data 2009-15 (Real $2008)'!H48/10^3</f>
        <v>0</v>
      </c>
      <c r="I73" s="82">
        <f>'Data 2009-15 (Real $2008)'!I48/10^3</f>
        <v>0</v>
      </c>
      <c r="J73" s="82">
        <f>'Data 2009-15 (Real $2008)'!J48/10^3</f>
        <v>0</v>
      </c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</row>
    <row r="74" spans="1:27" s="461" customFormat="1" outlineLevel="1" x14ac:dyDescent="0.25">
      <c r="A74" s="73" t="s">
        <v>137</v>
      </c>
      <c r="B74" s="73"/>
      <c r="C74" s="73"/>
      <c r="D74" s="82">
        <f>D116+D160+D258</f>
        <v>70.417382741449657</v>
      </c>
      <c r="E74" s="82">
        <f t="shared" ref="E74:W74" si="28">E116+E160+E258</f>
        <v>70.417382741449657</v>
      </c>
      <c r="F74" s="82">
        <f t="shared" si="28"/>
        <v>46.883493155334847</v>
      </c>
      <c r="G74" s="82">
        <f t="shared" si="28"/>
        <v>11.674801784610025</v>
      </c>
      <c r="H74" s="82">
        <f t="shared" si="28"/>
        <v>0</v>
      </c>
      <c r="I74" s="82">
        <f t="shared" si="28"/>
        <v>0</v>
      </c>
      <c r="J74" s="82">
        <f t="shared" si="28"/>
        <v>0</v>
      </c>
      <c r="K74" s="82">
        <f t="shared" si="28"/>
        <v>0</v>
      </c>
      <c r="L74" s="82">
        <f t="shared" si="28"/>
        <v>0</v>
      </c>
      <c r="M74" s="82">
        <f t="shared" si="28"/>
        <v>0</v>
      </c>
      <c r="N74" s="82">
        <f t="shared" si="28"/>
        <v>0</v>
      </c>
      <c r="O74" s="82">
        <f t="shared" si="28"/>
        <v>0</v>
      </c>
      <c r="P74" s="82">
        <f t="shared" si="28"/>
        <v>0</v>
      </c>
      <c r="Q74" s="82">
        <f t="shared" si="28"/>
        <v>0</v>
      </c>
      <c r="R74" s="82">
        <f t="shared" si="28"/>
        <v>0</v>
      </c>
      <c r="S74" s="82">
        <f t="shared" si="28"/>
        <v>0</v>
      </c>
      <c r="T74" s="82">
        <f t="shared" si="28"/>
        <v>0</v>
      </c>
      <c r="U74" s="82">
        <f t="shared" si="28"/>
        <v>0</v>
      </c>
      <c r="V74" s="82">
        <f t="shared" si="28"/>
        <v>0</v>
      </c>
      <c r="W74" s="82">
        <f t="shared" si="28"/>
        <v>0</v>
      </c>
      <c r="X74" s="82">
        <f>X116+X160+X258</f>
        <v>0</v>
      </c>
      <c r="Y74" s="82">
        <f>Y116+Y160+Y258</f>
        <v>0</v>
      </c>
      <c r="Z74" s="82">
        <f>Z116+Z160+Z258</f>
        <v>0</v>
      </c>
      <c r="AA74" s="82">
        <f>AA116+AA160+AA258</f>
        <v>0</v>
      </c>
    </row>
    <row r="75" spans="1:27" s="461" customFormat="1" outlineLevel="1" x14ac:dyDescent="0.25">
      <c r="A75" s="73" t="s">
        <v>317</v>
      </c>
      <c r="B75" s="73"/>
      <c r="C75" s="73"/>
      <c r="D75" s="109">
        <f t="shared" ref="D75:W75" si="29">D70+D71-SUM(D72:D74)</f>
        <v>128.97567768139453</v>
      </c>
      <c r="E75" s="109">
        <f t="shared" si="29"/>
        <v>58.558294939944872</v>
      </c>
      <c r="F75" s="109">
        <f t="shared" si="29"/>
        <v>11.674801784610025</v>
      </c>
      <c r="G75" s="109">
        <f t="shared" si="29"/>
        <v>0</v>
      </c>
      <c r="H75" s="109">
        <f t="shared" si="29"/>
        <v>0</v>
      </c>
      <c r="I75" s="109">
        <f t="shared" si="29"/>
        <v>0</v>
      </c>
      <c r="J75" s="109">
        <f t="shared" si="29"/>
        <v>0</v>
      </c>
      <c r="K75" s="109">
        <f t="shared" si="29"/>
        <v>0</v>
      </c>
      <c r="L75" s="109">
        <f t="shared" si="29"/>
        <v>0</v>
      </c>
      <c r="M75" s="109">
        <f t="shared" si="29"/>
        <v>0</v>
      </c>
      <c r="N75" s="109">
        <f t="shared" si="29"/>
        <v>0</v>
      </c>
      <c r="O75" s="109">
        <f t="shared" si="29"/>
        <v>0</v>
      </c>
      <c r="P75" s="109">
        <f t="shared" si="29"/>
        <v>0</v>
      </c>
      <c r="Q75" s="109">
        <f t="shared" si="29"/>
        <v>0</v>
      </c>
      <c r="R75" s="109">
        <f t="shared" si="29"/>
        <v>0</v>
      </c>
      <c r="S75" s="109">
        <f t="shared" si="29"/>
        <v>0</v>
      </c>
      <c r="T75" s="109">
        <f t="shared" si="29"/>
        <v>0</v>
      </c>
      <c r="U75" s="109">
        <f t="shared" si="29"/>
        <v>0</v>
      </c>
      <c r="V75" s="109">
        <f t="shared" si="29"/>
        <v>0</v>
      </c>
      <c r="W75" s="109">
        <f t="shared" si="29"/>
        <v>0</v>
      </c>
      <c r="X75" s="109">
        <f>X70+X71-SUM(X72:X74)</f>
        <v>0</v>
      </c>
      <c r="Y75" s="109">
        <f>Y70+Y71-SUM(Y72:Y74)</f>
        <v>0</v>
      </c>
      <c r="Z75" s="109">
        <f>Z70+Z71-SUM(Z72:Z74)</f>
        <v>0</v>
      </c>
      <c r="AA75" s="109">
        <f>AA70+AA71-SUM(AA72:AA74)</f>
        <v>0</v>
      </c>
    </row>
    <row r="76" spans="1:27" s="85" customFormat="1" outlineLevel="1" x14ac:dyDescent="0.25">
      <c r="A76" s="492"/>
      <c r="C76" s="493"/>
      <c r="D76" s="494"/>
      <c r="E76" s="494"/>
      <c r="F76" s="494"/>
      <c r="G76" s="494"/>
      <c r="H76" s="494"/>
      <c r="I76" s="494"/>
      <c r="J76" s="494"/>
      <c r="K76" s="494"/>
      <c r="L76" s="494"/>
      <c r="M76" s="494"/>
      <c r="N76" s="494"/>
      <c r="O76" s="494"/>
      <c r="P76" s="494"/>
      <c r="Q76" s="494"/>
      <c r="R76" s="494"/>
      <c r="S76" s="494"/>
      <c r="T76" s="494"/>
      <c r="U76" s="494"/>
      <c r="V76" s="494"/>
      <c r="W76" s="494"/>
      <c r="X76" s="494"/>
      <c r="Y76" s="494"/>
      <c r="Z76" s="494"/>
      <c r="AA76" s="494"/>
    </row>
    <row r="77" spans="1:27" s="101" customFormat="1" outlineLevel="1" x14ac:dyDescent="0.25">
      <c r="A77" s="556" t="s">
        <v>0</v>
      </c>
      <c r="B77" s="559"/>
      <c r="C77" s="557">
        <f>SUM(D77:AA77)</f>
        <v>0</v>
      </c>
      <c r="D77" s="560">
        <f>IF(ABS(D10-D25-D35-D45-D55-D65-D75)&lt;0.001,0,ABS(D10-D25-D35-D45-D55-D65-D75))</f>
        <v>0</v>
      </c>
      <c r="E77" s="560">
        <f t="shared" ref="E77:W77" si="30">IF(ABS(E10-E25-E35-E45-E55-E65-E75)&lt;0.001,0,ABS(E10-E25-E35-E45-E55-E65-E75))</f>
        <v>0</v>
      </c>
      <c r="F77" s="560">
        <f t="shared" si="30"/>
        <v>0</v>
      </c>
      <c r="G77" s="560">
        <f t="shared" si="30"/>
        <v>0</v>
      </c>
      <c r="H77" s="560">
        <f t="shared" si="30"/>
        <v>0</v>
      </c>
      <c r="I77" s="560">
        <f t="shared" si="30"/>
        <v>0</v>
      </c>
      <c r="J77" s="560">
        <f t="shared" si="30"/>
        <v>0</v>
      </c>
      <c r="K77" s="560">
        <f t="shared" si="30"/>
        <v>0</v>
      </c>
      <c r="L77" s="560">
        <f t="shared" si="30"/>
        <v>0</v>
      </c>
      <c r="M77" s="560">
        <f t="shared" si="30"/>
        <v>0</v>
      </c>
      <c r="N77" s="560">
        <f t="shared" si="30"/>
        <v>0</v>
      </c>
      <c r="O77" s="560">
        <f t="shared" si="30"/>
        <v>0</v>
      </c>
      <c r="P77" s="560">
        <f t="shared" si="30"/>
        <v>0</v>
      </c>
      <c r="Q77" s="560">
        <f t="shared" si="30"/>
        <v>0</v>
      </c>
      <c r="R77" s="560">
        <f t="shared" si="30"/>
        <v>0</v>
      </c>
      <c r="S77" s="560">
        <f t="shared" si="30"/>
        <v>0</v>
      </c>
      <c r="T77" s="560">
        <f t="shared" si="30"/>
        <v>0</v>
      </c>
      <c r="U77" s="560">
        <f t="shared" si="30"/>
        <v>0</v>
      </c>
      <c r="V77" s="560">
        <f t="shared" si="30"/>
        <v>0</v>
      </c>
      <c r="W77" s="560">
        <f t="shared" si="30"/>
        <v>0</v>
      </c>
      <c r="X77" s="560">
        <f>IF(ABS(X10-X25-X35-X45-X55-X65-X75)&lt;0.001,0,ABS(X10-X25-X35-X45-X55-X65-X75))</f>
        <v>0</v>
      </c>
      <c r="Y77" s="560">
        <f>IF(ABS(Y10-Y25-Y35-Y45-Y55-Y65-Y75)&lt;0.001,0,ABS(Y10-Y25-Y35-Y45-Y55-Y65-Y75))</f>
        <v>0</v>
      </c>
      <c r="Z77" s="560">
        <f>IF(ABS(Z10-Z25-Z35-Z45-Z55-Z65-Z75)&lt;0.001,0,ABS(Z10-Z25-Z35-Z45-Z55-Z65-Z75))</f>
        <v>0</v>
      </c>
      <c r="AA77" s="560">
        <f>IF(ABS(AA10-AA25-AA35-AA45-AA55-AA65-AA75)&lt;0.001,0,ABS(AA10-AA25-AA35-AA45-AA55-AA65-AA75))</f>
        <v>0</v>
      </c>
    </row>
    <row r="78" spans="1:27" s="85" customFormat="1" x14ac:dyDescent="0.25">
      <c r="A78" s="492"/>
      <c r="C78" s="493"/>
      <c r="D78" s="494"/>
      <c r="E78" s="494"/>
      <c r="F78" s="494"/>
      <c r="G78" s="494"/>
      <c r="H78" s="494"/>
      <c r="I78" s="494"/>
      <c r="J78" s="494"/>
      <c r="K78" s="494"/>
      <c r="L78" s="494"/>
      <c r="M78" s="494"/>
      <c r="N78" s="494"/>
      <c r="O78" s="494"/>
      <c r="P78" s="494"/>
      <c r="Q78" s="494"/>
      <c r="R78" s="494"/>
      <c r="S78" s="494"/>
      <c r="T78" s="494"/>
      <c r="U78" s="494"/>
      <c r="V78" s="494"/>
      <c r="W78" s="494"/>
      <c r="X78" s="494"/>
      <c r="Y78" s="494"/>
      <c r="Z78" s="494"/>
      <c r="AA78" s="494"/>
    </row>
    <row r="79" spans="1:27" x14ac:dyDescent="0.25">
      <c r="A79" s="464" t="s">
        <v>328</v>
      </c>
      <c r="B79" s="464"/>
      <c r="C79" s="464"/>
      <c r="G79" s="60"/>
    </row>
    <row r="80" spans="1:27" x14ac:dyDescent="0.25">
      <c r="A80" s="346" t="str">
        <f>$A$4</f>
        <v>($000 Real 2008)</v>
      </c>
      <c r="B80" s="464"/>
      <c r="C80" s="464"/>
      <c r="G80" s="60"/>
    </row>
    <row r="81" spans="1:27" x14ac:dyDescent="0.25">
      <c r="A81" s="101" t="s">
        <v>324</v>
      </c>
      <c r="D81" s="468">
        <f>D$4</f>
        <v>2009</v>
      </c>
      <c r="E81" s="468">
        <f t="shared" ref="E81:AA81" si="31">E$4</f>
        <v>2010</v>
      </c>
      <c r="F81" s="468">
        <f t="shared" si="31"/>
        <v>2011</v>
      </c>
      <c r="G81" s="468">
        <f t="shared" si="31"/>
        <v>2012</v>
      </c>
      <c r="H81" s="468">
        <f t="shared" si="31"/>
        <v>2013</v>
      </c>
      <c r="I81" s="468">
        <f t="shared" si="31"/>
        <v>2014</v>
      </c>
      <c r="J81" s="468">
        <f t="shared" si="31"/>
        <v>2015</v>
      </c>
      <c r="K81" s="468">
        <f t="shared" si="31"/>
        <v>2016</v>
      </c>
      <c r="L81" s="468">
        <f t="shared" si="31"/>
        <v>2017</v>
      </c>
      <c r="M81" s="468">
        <f t="shared" si="31"/>
        <v>2018</v>
      </c>
      <c r="N81" s="468">
        <f t="shared" si="31"/>
        <v>2019</v>
      </c>
      <c r="O81" s="468">
        <f t="shared" si="31"/>
        <v>2020</v>
      </c>
      <c r="P81" s="468">
        <f t="shared" si="31"/>
        <v>2021</v>
      </c>
      <c r="Q81" s="468">
        <f t="shared" si="31"/>
        <v>2022</v>
      </c>
      <c r="R81" s="468">
        <f t="shared" si="31"/>
        <v>2023</v>
      </c>
      <c r="S81" s="468">
        <f t="shared" si="31"/>
        <v>2024</v>
      </c>
      <c r="T81" s="468">
        <f t="shared" si="31"/>
        <v>2025</v>
      </c>
      <c r="U81" s="468">
        <f t="shared" si="31"/>
        <v>2026</v>
      </c>
      <c r="V81" s="468">
        <f t="shared" si="31"/>
        <v>2027</v>
      </c>
      <c r="W81" s="468">
        <f t="shared" si="31"/>
        <v>2028</v>
      </c>
      <c r="X81" s="468">
        <f t="shared" si="31"/>
        <v>2029</v>
      </c>
      <c r="Y81" s="468">
        <f t="shared" si="31"/>
        <v>2030</v>
      </c>
      <c r="Z81" s="468">
        <f t="shared" si="31"/>
        <v>2031</v>
      </c>
      <c r="AA81" s="468">
        <f t="shared" si="31"/>
        <v>2032</v>
      </c>
    </row>
    <row r="82" spans="1:27" x14ac:dyDescent="0.25">
      <c r="A82" s="73" t="s">
        <v>171</v>
      </c>
      <c r="D82" s="87">
        <f>B119</f>
        <v>21038.921386264967</v>
      </c>
      <c r="E82" s="87">
        <f>D84</f>
        <v>16554.586507624415</v>
      </c>
      <c r="F82" s="87">
        <f t="shared" ref="F82:W82" si="32">E84</f>
        <v>12070.251628983864</v>
      </c>
      <c r="G82" s="87">
        <f t="shared" si="32"/>
        <v>7849.3376925328985</v>
      </c>
      <c r="H82" s="87">
        <f t="shared" si="32"/>
        <v>3910.0061076348061</v>
      </c>
      <c r="I82" s="87">
        <f t="shared" si="32"/>
        <v>0</v>
      </c>
      <c r="J82" s="87">
        <f t="shared" si="32"/>
        <v>0</v>
      </c>
      <c r="K82" s="87">
        <f t="shared" si="32"/>
        <v>0</v>
      </c>
      <c r="L82" s="87">
        <f t="shared" si="32"/>
        <v>0</v>
      </c>
      <c r="M82" s="87">
        <f t="shared" si="32"/>
        <v>0</v>
      </c>
      <c r="N82" s="87">
        <f t="shared" si="32"/>
        <v>0</v>
      </c>
      <c r="O82" s="87">
        <f t="shared" si="32"/>
        <v>0</v>
      </c>
      <c r="P82" s="87">
        <f t="shared" si="32"/>
        <v>0</v>
      </c>
      <c r="Q82" s="87">
        <f t="shared" si="32"/>
        <v>0</v>
      </c>
      <c r="R82" s="87">
        <f t="shared" si="32"/>
        <v>0</v>
      </c>
      <c r="S82" s="87">
        <f t="shared" si="32"/>
        <v>0</v>
      </c>
      <c r="T82" s="87">
        <f t="shared" si="32"/>
        <v>0</v>
      </c>
      <c r="U82" s="87">
        <f t="shared" si="32"/>
        <v>0</v>
      </c>
      <c r="V82" s="87">
        <f t="shared" si="32"/>
        <v>0</v>
      </c>
      <c r="W82" s="87">
        <f t="shared" si="32"/>
        <v>0</v>
      </c>
      <c r="X82" s="87">
        <f>W84</f>
        <v>0</v>
      </c>
      <c r="Y82" s="87">
        <f>X84</f>
        <v>0</v>
      </c>
      <c r="Z82" s="87">
        <f>Y84</f>
        <v>0</v>
      </c>
      <c r="AA82" s="87">
        <f>Z84</f>
        <v>0</v>
      </c>
    </row>
    <row r="83" spans="1:27" x14ac:dyDescent="0.25">
      <c r="A83" s="84" t="s">
        <v>137</v>
      </c>
      <c r="D83" s="87">
        <f>D119</f>
        <v>4484.3348786405513</v>
      </c>
      <c r="E83" s="87">
        <f t="shared" ref="E83:W83" si="33">E119</f>
        <v>4484.3348786405513</v>
      </c>
      <c r="F83" s="87">
        <f t="shared" si="33"/>
        <v>4220.9139364509656</v>
      </c>
      <c r="G83" s="87">
        <f t="shared" si="33"/>
        <v>3939.3315848980924</v>
      </c>
      <c r="H83" s="87">
        <f t="shared" si="33"/>
        <v>3910.0061076348061</v>
      </c>
      <c r="I83" s="87">
        <f t="shared" si="33"/>
        <v>0</v>
      </c>
      <c r="J83" s="87">
        <f t="shared" si="33"/>
        <v>0</v>
      </c>
      <c r="K83" s="87">
        <f t="shared" si="33"/>
        <v>0</v>
      </c>
      <c r="L83" s="87">
        <f t="shared" si="33"/>
        <v>0</v>
      </c>
      <c r="M83" s="87">
        <f t="shared" si="33"/>
        <v>0</v>
      </c>
      <c r="N83" s="87">
        <f t="shared" si="33"/>
        <v>0</v>
      </c>
      <c r="O83" s="87">
        <f t="shared" si="33"/>
        <v>0</v>
      </c>
      <c r="P83" s="87">
        <f t="shared" si="33"/>
        <v>0</v>
      </c>
      <c r="Q83" s="87">
        <f t="shared" si="33"/>
        <v>0</v>
      </c>
      <c r="R83" s="87">
        <f t="shared" si="33"/>
        <v>0</v>
      </c>
      <c r="S83" s="87">
        <f t="shared" si="33"/>
        <v>0</v>
      </c>
      <c r="T83" s="87">
        <f t="shared" si="33"/>
        <v>0</v>
      </c>
      <c r="U83" s="87">
        <f t="shared" si="33"/>
        <v>0</v>
      </c>
      <c r="V83" s="87">
        <f t="shared" si="33"/>
        <v>0</v>
      </c>
      <c r="W83" s="87">
        <f t="shared" si="33"/>
        <v>0</v>
      </c>
      <c r="X83" s="87">
        <f>X119</f>
        <v>0</v>
      </c>
      <c r="Y83" s="87">
        <f>Y119</f>
        <v>0</v>
      </c>
      <c r="Z83" s="87">
        <f>Z119</f>
        <v>0</v>
      </c>
      <c r="AA83" s="87">
        <f>AA119</f>
        <v>0</v>
      </c>
    </row>
    <row r="84" spans="1:27" ht="13.8" thickBot="1" x14ac:dyDescent="0.3">
      <c r="A84" s="73" t="s">
        <v>173</v>
      </c>
      <c r="D84" s="76">
        <f>D82-D83</f>
        <v>16554.586507624415</v>
      </c>
      <c r="E84" s="76">
        <f t="shared" ref="E84:W84" si="34">E82-E83</f>
        <v>12070.251628983864</v>
      </c>
      <c r="F84" s="76">
        <f t="shared" si="34"/>
        <v>7849.3376925328985</v>
      </c>
      <c r="G84" s="76">
        <f t="shared" si="34"/>
        <v>3910.0061076348061</v>
      </c>
      <c r="H84" s="76">
        <f t="shared" si="34"/>
        <v>0</v>
      </c>
      <c r="I84" s="76">
        <f t="shared" si="34"/>
        <v>0</v>
      </c>
      <c r="J84" s="76">
        <f t="shared" si="34"/>
        <v>0</v>
      </c>
      <c r="K84" s="76">
        <f t="shared" si="34"/>
        <v>0</v>
      </c>
      <c r="L84" s="76">
        <f t="shared" si="34"/>
        <v>0</v>
      </c>
      <c r="M84" s="76">
        <f t="shared" si="34"/>
        <v>0</v>
      </c>
      <c r="N84" s="76">
        <f t="shared" si="34"/>
        <v>0</v>
      </c>
      <c r="O84" s="76">
        <f t="shared" si="34"/>
        <v>0</v>
      </c>
      <c r="P84" s="76">
        <f t="shared" si="34"/>
        <v>0</v>
      </c>
      <c r="Q84" s="76">
        <f t="shared" si="34"/>
        <v>0</v>
      </c>
      <c r="R84" s="76">
        <f t="shared" si="34"/>
        <v>0</v>
      </c>
      <c r="S84" s="76">
        <f t="shared" si="34"/>
        <v>0</v>
      </c>
      <c r="T84" s="76">
        <f t="shared" si="34"/>
        <v>0</v>
      </c>
      <c r="U84" s="76">
        <f t="shared" si="34"/>
        <v>0</v>
      </c>
      <c r="V84" s="76">
        <f t="shared" si="34"/>
        <v>0</v>
      </c>
      <c r="W84" s="76">
        <f t="shared" si="34"/>
        <v>0</v>
      </c>
      <c r="X84" s="76">
        <f>X82-X83</f>
        <v>0</v>
      </c>
      <c r="Y84" s="76">
        <f>Y82-Y83</f>
        <v>0</v>
      </c>
      <c r="Z84" s="76">
        <f>Z82-Z83</f>
        <v>0</v>
      </c>
      <c r="AA84" s="76">
        <f>AA82-AA83</f>
        <v>0</v>
      </c>
    </row>
    <row r="85" spans="1:27" s="101" customFormat="1" ht="13.8" outlineLevel="1" thickTop="1" x14ac:dyDescent="0.25">
      <c r="A85" s="556" t="s">
        <v>0</v>
      </c>
      <c r="B85" s="484"/>
      <c r="C85" s="557">
        <f>SUM(D85:E85)</f>
        <v>0</v>
      </c>
      <c r="D85" s="558">
        <f>IF(ABS(D82-SUM(D83:AA83))&lt;0.001,0,ABS(D82-SUM(D83:AA83)))</f>
        <v>0</v>
      </c>
      <c r="E85" s="558">
        <f>IF(ABS(D82-'Offset of Costs and Rev 2006-08'!F183)&lt;0.001,0,ABS(D82-'Offset of Costs and Rev 2006-08'!F183))</f>
        <v>0</v>
      </c>
      <c r="G85" s="60"/>
    </row>
    <row r="86" spans="1:27" outlineLevel="1" x14ac:dyDescent="0.25"/>
    <row r="87" spans="1:27" outlineLevel="1" x14ac:dyDescent="0.25">
      <c r="A87" s="346" t="s">
        <v>261</v>
      </c>
      <c r="B87" s="473" t="s">
        <v>320</v>
      </c>
      <c r="C87" s="308" t="s">
        <v>323</v>
      </c>
      <c r="D87" s="468">
        <f>D$4</f>
        <v>2009</v>
      </c>
      <c r="E87" s="468">
        <f t="shared" ref="E87:AA87" si="35">E$4</f>
        <v>2010</v>
      </c>
      <c r="F87" s="468">
        <f t="shared" si="35"/>
        <v>2011</v>
      </c>
      <c r="G87" s="468">
        <f t="shared" si="35"/>
        <v>2012</v>
      </c>
      <c r="H87" s="468">
        <f t="shared" si="35"/>
        <v>2013</v>
      </c>
      <c r="I87" s="468">
        <f t="shared" si="35"/>
        <v>2014</v>
      </c>
      <c r="J87" s="468">
        <f t="shared" si="35"/>
        <v>2015</v>
      </c>
      <c r="K87" s="468">
        <f t="shared" si="35"/>
        <v>2016</v>
      </c>
      <c r="L87" s="468">
        <f t="shared" si="35"/>
        <v>2017</v>
      </c>
      <c r="M87" s="468">
        <f t="shared" si="35"/>
        <v>2018</v>
      </c>
      <c r="N87" s="468">
        <f t="shared" si="35"/>
        <v>2019</v>
      </c>
      <c r="O87" s="468">
        <f t="shared" si="35"/>
        <v>2020</v>
      </c>
      <c r="P87" s="468">
        <f t="shared" si="35"/>
        <v>2021</v>
      </c>
      <c r="Q87" s="468">
        <f t="shared" si="35"/>
        <v>2022</v>
      </c>
      <c r="R87" s="468">
        <f t="shared" si="35"/>
        <v>2023</v>
      </c>
      <c r="S87" s="468">
        <f t="shared" si="35"/>
        <v>2024</v>
      </c>
      <c r="T87" s="468">
        <f t="shared" si="35"/>
        <v>2025</v>
      </c>
      <c r="U87" s="468">
        <f t="shared" si="35"/>
        <v>2026</v>
      </c>
      <c r="V87" s="468">
        <f t="shared" si="35"/>
        <v>2027</v>
      </c>
      <c r="W87" s="468">
        <f t="shared" si="35"/>
        <v>2028</v>
      </c>
      <c r="X87" s="468">
        <f t="shared" si="35"/>
        <v>2029</v>
      </c>
      <c r="Y87" s="468">
        <f t="shared" si="35"/>
        <v>2030</v>
      </c>
      <c r="Z87" s="468">
        <f t="shared" si="35"/>
        <v>2031</v>
      </c>
      <c r="AA87" s="468">
        <f t="shared" si="35"/>
        <v>2032</v>
      </c>
    </row>
    <row r="88" spans="1:27" outlineLevel="1" x14ac:dyDescent="0.25">
      <c r="A88" s="346" t="str">
        <f>$A$4</f>
        <v>($000 Real 2008)</v>
      </c>
      <c r="B88" s="474" t="s">
        <v>321</v>
      </c>
      <c r="C88" s="475" t="s">
        <v>322</v>
      </c>
      <c r="D88" s="460"/>
      <c r="E88" s="460"/>
      <c r="F88" s="460"/>
      <c r="G88" s="460"/>
      <c r="H88" s="460"/>
      <c r="I88" s="460"/>
      <c r="J88" s="460"/>
      <c r="K88" s="460"/>
      <c r="L88" s="460"/>
      <c r="M88" s="460"/>
      <c r="N88" s="460"/>
      <c r="O88" s="460"/>
      <c r="P88" s="460"/>
      <c r="Q88" s="460"/>
      <c r="R88" s="460"/>
      <c r="S88" s="460"/>
      <c r="T88" s="460"/>
      <c r="U88" s="460"/>
      <c r="V88" s="460"/>
      <c r="W88" s="460"/>
      <c r="X88" s="460"/>
      <c r="Y88" s="460"/>
      <c r="Z88" s="460"/>
      <c r="AA88" s="460"/>
    </row>
    <row r="89" spans="1:27" outlineLevel="1" x14ac:dyDescent="0.25">
      <c r="A89" s="469">
        <v>2006</v>
      </c>
      <c r="B89" s="471">
        <f>'Offset of Costs and Rev 2006-08'!D$140-SUM('Offset of Costs and Rev 2006-08'!D206:F206)</f>
        <v>3819.2908252908633</v>
      </c>
      <c r="C89" s="467">
        <f>IF('Data 2006-08'!C$34="",5,('Data 2006-08'!C$34-D$87+1))</f>
        <v>5</v>
      </c>
      <c r="D89" s="87">
        <f>IF(C89&lt;1,B89,B89/C89)</f>
        <v>763.85816505817263</v>
      </c>
      <c r="E89" s="87">
        <f>IF((SUM($D89:D89)+$B89/$C89)&gt;$B89,$B89-SUM($D89:D89),$B89/$C89)</f>
        <v>763.85816505817263</v>
      </c>
      <c r="F89" s="87">
        <f>IF((SUM($D89:E89)+$B89/$C89)&gt;$B89,$B89-SUM($D89:E89),$B89/$C89)</f>
        <v>763.85816505817263</v>
      </c>
      <c r="G89" s="87">
        <f>IF((SUM($D89:F89)+$B89/$C89)&gt;$B89,$B89-SUM($D89:F89),$B89/$C89)</f>
        <v>763.85816505817263</v>
      </c>
      <c r="H89" s="87">
        <f>IF((SUM($D89:G89)+$B89/$C89)&gt;$B89,$B89-SUM($D89:G89),$B89/$C89)</f>
        <v>763.85816505817263</v>
      </c>
      <c r="I89" s="87">
        <f>IF((SUM($D89:H89)+$B89/$C89)&gt;$B89,$B89-SUM($D89:H89),$B89/$C89)</f>
        <v>0</v>
      </c>
      <c r="J89" s="87">
        <f>IF((SUM($D89:I89)+$B89/$C89)&gt;$B89,$B89-SUM($D89:I89),$B89/$C89)</f>
        <v>0</v>
      </c>
      <c r="K89" s="87">
        <f>IF((SUM($D89:J89)+$B89/$C89)&gt;$B89,$B89-SUM($D89:J89),$B89/$C89)</f>
        <v>0</v>
      </c>
      <c r="L89" s="87">
        <f>IF((SUM($D89:K89)+$B89/$C89)&gt;$B89,$B89-SUM($D89:K89),$B89/$C89)</f>
        <v>0</v>
      </c>
      <c r="M89" s="87">
        <f>IF((SUM($D89:L89)+$B89/$C89)&gt;$B89,$B89-SUM($D89:L89),$B89/$C89)</f>
        <v>0</v>
      </c>
      <c r="N89" s="87">
        <f>IF((SUM($D89:M89)+$B89/$C89)&gt;$B89,$B89-SUM($D89:M89),$B89/$C89)</f>
        <v>0</v>
      </c>
      <c r="O89" s="87">
        <f>IF((SUM($D89:N89)+$B89/$C89)&gt;$B89,$B89-SUM($D89:N89),$B89/$C89)</f>
        <v>0</v>
      </c>
      <c r="P89" s="87">
        <f>IF((SUM($D89:O89)+$B89/$C89)&gt;$B89,$B89-SUM($D89:O89),$B89/$C89)</f>
        <v>0</v>
      </c>
      <c r="Q89" s="87">
        <f>IF((SUM($D89:P89)+$B89/$C89)&gt;$B89,$B89-SUM($D89:P89),$B89/$C89)</f>
        <v>0</v>
      </c>
      <c r="R89" s="87">
        <f>IF((SUM($D89:Q89)+$B89/$C89)&gt;$B89,$B89-SUM($D89:Q89),$B89/$C89)</f>
        <v>0</v>
      </c>
      <c r="S89" s="87">
        <f>IF((SUM($D89:R89)+$B89/$C89)&gt;$B89,$B89-SUM($D89:R89),$B89/$C89)</f>
        <v>0</v>
      </c>
      <c r="T89" s="87">
        <f>IF((SUM($D89:S89)+$B89/$C89)&gt;$B89,$B89-SUM($D89:S89),$B89/$C89)</f>
        <v>0</v>
      </c>
      <c r="U89" s="87">
        <f>IF((SUM($D89:T89)+$B89/$C89)&gt;$B89,$B89-SUM($D89:T89),$B89/$C89)</f>
        <v>0</v>
      </c>
      <c r="V89" s="87">
        <f>IF((SUM($D89:U89)+$B89/$C89)&gt;$B89,$B89-SUM($D89:U89),$B89/$C89)</f>
        <v>0</v>
      </c>
      <c r="W89" s="87">
        <f>IF((SUM($D89:V89)+$B89/$C89)&gt;$B89,$B89-SUM($D89:V89),$B89/$C89)</f>
        <v>0</v>
      </c>
      <c r="X89" s="87">
        <f>IF((SUM($D89:W89)+$B89/$C89)&gt;$B89,$B89-SUM($D89:W89),$B89/$C89)</f>
        <v>0</v>
      </c>
      <c r="Y89" s="87">
        <f>IF((SUM($D89:X89)+$B89/$C89)&gt;$B89,$B89-SUM($D89:X89),$B89/$C89)</f>
        <v>0</v>
      </c>
      <c r="Z89" s="87">
        <f>IF((SUM($D89:Y89)+$B89/$C89)&gt;$B89,$B89-SUM($D89:Y89),$B89/$C89)</f>
        <v>0</v>
      </c>
      <c r="AA89" s="87">
        <f>IF((SUM($D89:Z89)+$B89/$C89)&gt;$B89,$B89-SUM($D89:Z89),$B89/$C89)</f>
        <v>0</v>
      </c>
    </row>
    <row r="90" spans="1:27" outlineLevel="1" x14ac:dyDescent="0.25">
      <c r="A90" s="469">
        <v>2007</v>
      </c>
      <c r="B90" s="471">
        <f>'Offset of Costs and Rev 2006-08'!E$140-SUM('Offset of Costs and Rev 2006-08'!D207:F207)</f>
        <v>3638.309581055496</v>
      </c>
      <c r="C90" s="467">
        <f>IF('Data 2006-08'!C$34="",5,('Data 2006-08'!C$34-D$87+1))</f>
        <v>5</v>
      </c>
      <c r="D90" s="87">
        <f>IF(C90&lt;1,B90,B90/C90)</f>
        <v>727.6619162110992</v>
      </c>
      <c r="E90" s="87">
        <f>IF((SUM($D90:D90)+$B90/$C90)&gt;$B90,$B90-SUM($D90:D90),$B90/$C90)</f>
        <v>727.6619162110992</v>
      </c>
      <c r="F90" s="87">
        <f>IF((SUM($D90:E90)+$B90/$C90)&gt;$B90,$B90-SUM($D90:E90),$B90/$C90)</f>
        <v>727.6619162110992</v>
      </c>
      <c r="G90" s="87">
        <f>IF((SUM($D90:F90)+$B90/$C90)&gt;$B90,$B90-SUM($D90:F90),$B90/$C90)</f>
        <v>727.6619162110992</v>
      </c>
      <c r="H90" s="87">
        <f>IF((SUM($D90:G90)+$B90/$C90)&gt;$B90,$B90-SUM($D90:G90),$B90/$C90)</f>
        <v>727.6619162110992</v>
      </c>
      <c r="I90" s="87">
        <f>IF((SUM($D90:H90)+$B90/$C90)&gt;$B90,$B90-SUM($D90:H90),$B90/$C90)</f>
        <v>0</v>
      </c>
      <c r="J90" s="87">
        <f>IF((SUM($D90:I90)+$B90/$C90)&gt;$B90,$B90-SUM($D90:I90),$B90/$C90)</f>
        <v>0</v>
      </c>
      <c r="K90" s="87">
        <f>IF((SUM($D90:J90)+$B90/$C90)&gt;$B90,$B90-SUM($D90:J90),$B90/$C90)</f>
        <v>0</v>
      </c>
      <c r="L90" s="87">
        <f>IF((SUM($D90:K90)+$B90/$C90)&gt;$B90,$B90-SUM($D90:K90),$B90/$C90)</f>
        <v>0</v>
      </c>
      <c r="M90" s="87">
        <f>IF((SUM($D90:L90)+$B90/$C90)&gt;$B90,$B90-SUM($D90:L90),$B90/$C90)</f>
        <v>0</v>
      </c>
      <c r="N90" s="87">
        <f>IF((SUM($D90:M90)+$B90/$C90)&gt;$B90,$B90-SUM($D90:M90),$B90/$C90)</f>
        <v>0</v>
      </c>
      <c r="O90" s="87">
        <f>IF((SUM($D90:N90)+$B90/$C90)&gt;$B90,$B90-SUM($D90:N90),$B90/$C90)</f>
        <v>0</v>
      </c>
      <c r="P90" s="87">
        <f>IF((SUM($D90:O90)+$B90/$C90)&gt;$B90,$B90-SUM($D90:O90),$B90/$C90)</f>
        <v>0</v>
      </c>
      <c r="Q90" s="87">
        <f>IF((SUM($D90:P90)+$B90/$C90)&gt;$B90,$B90-SUM($D90:P90),$B90/$C90)</f>
        <v>0</v>
      </c>
      <c r="R90" s="87">
        <f>IF((SUM($D90:Q90)+$B90/$C90)&gt;$B90,$B90-SUM($D90:Q90),$B90/$C90)</f>
        <v>0</v>
      </c>
      <c r="S90" s="87">
        <f>IF((SUM($D90:R90)+$B90/$C90)&gt;$B90,$B90-SUM($D90:R90),$B90/$C90)</f>
        <v>0</v>
      </c>
      <c r="T90" s="87">
        <f>IF((SUM($D90:S90)+$B90/$C90)&gt;$B90,$B90-SUM($D90:S90),$B90/$C90)</f>
        <v>0</v>
      </c>
      <c r="U90" s="87">
        <f>IF((SUM($D90:T90)+$B90/$C90)&gt;$B90,$B90-SUM($D90:T90),$B90/$C90)</f>
        <v>0</v>
      </c>
      <c r="V90" s="87">
        <f>IF((SUM($D90:U90)+$B90/$C90)&gt;$B90,$B90-SUM($D90:U90),$B90/$C90)</f>
        <v>0</v>
      </c>
      <c r="W90" s="87">
        <f>IF((SUM($D90:V90)+$B90/$C90)&gt;$B90,$B90-SUM($D90:V90),$B90/$C90)</f>
        <v>0</v>
      </c>
      <c r="X90" s="87">
        <f>IF((SUM($D90:W90)+$B90/$C90)&gt;$B90,$B90-SUM($D90:W90),$B90/$C90)</f>
        <v>0</v>
      </c>
      <c r="Y90" s="87">
        <f>IF((SUM($D90:X90)+$B90/$C90)&gt;$B90,$B90-SUM($D90:X90),$B90/$C90)</f>
        <v>0</v>
      </c>
      <c r="Z90" s="87">
        <f>IF((SUM($D90:Y90)+$B90/$C90)&gt;$B90,$B90-SUM($D90:Y90),$B90/$C90)</f>
        <v>0</v>
      </c>
      <c r="AA90" s="87">
        <f>IF((SUM($D90:Z90)+$B90/$C90)&gt;$B90,$B90-SUM($D90:Z90),$B90/$C90)</f>
        <v>0</v>
      </c>
    </row>
    <row r="91" spans="1:27" outlineLevel="1" x14ac:dyDescent="0.25">
      <c r="A91" s="469">
        <v>2008</v>
      </c>
      <c r="B91" s="471">
        <f>'Offset of Costs and Rev 2006-08'!F$140-SUM('Offset of Costs and Rev 2006-08'!D208:F208)</f>
        <v>4589.1506164124485</v>
      </c>
      <c r="C91" s="467">
        <f>IF('Data 2006-08'!C$34="",5,('Data 2006-08'!C$34-D$87+1))</f>
        <v>5</v>
      </c>
      <c r="D91" s="87">
        <f>IF(C91&lt;1,B91,B91/C91)</f>
        <v>917.83012328248969</v>
      </c>
      <c r="E91" s="87">
        <f>IF((SUM($D91:D91)+$B91/$C91)&gt;$B91,$B91-SUM($D91:D91),$B91/$C91)</f>
        <v>917.83012328248969</v>
      </c>
      <c r="F91" s="87">
        <f>IF((SUM($D91:E91)+$B91/$C91)&gt;$B91,$B91-SUM($D91:E91),$B91/$C91)</f>
        <v>917.83012328248969</v>
      </c>
      <c r="G91" s="87">
        <f>IF((SUM($D91:F91)+$B91/$C91)&gt;$B91,$B91-SUM($D91:F91),$B91/$C91)</f>
        <v>917.83012328248969</v>
      </c>
      <c r="H91" s="87">
        <f>IF((SUM($D91:G91)+$B91/$C91)&gt;$B91,$B91-SUM($D91:G91),$B91/$C91)</f>
        <v>917.83012328248969</v>
      </c>
      <c r="I91" s="87">
        <f>IF((SUM($D91:H91)+$B91/$C91)&gt;$B91,$B91-SUM($D91:H91),$B91/$C91)</f>
        <v>0</v>
      </c>
      <c r="J91" s="87">
        <f>IF((SUM($D91:I91)+$B91/$C91)&gt;$B91,$B91-SUM($D91:I91),$B91/$C91)</f>
        <v>0</v>
      </c>
      <c r="K91" s="87">
        <f>IF((SUM($D91:J91)+$B91/$C91)&gt;$B91,$B91-SUM($D91:J91),$B91/$C91)</f>
        <v>0</v>
      </c>
      <c r="L91" s="87">
        <f>IF((SUM($D91:K91)+$B91/$C91)&gt;$B91,$B91-SUM($D91:K91),$B91/$C91)</f>
        <v>0</v>
      </c>
      <c r="M91" s="87">
        <f>IF((SUM($D91:L91)+$B91/$C91)&gt;$B91,$B91-SUM($D91:L91),$B91/$C91)</f>
        <v>0</v>
      </c>
      <c r="N91" s="87">
        <f>IF((SUM($D91:M91)+$B91/$C91)&gt;$B91,$B91-SUM($D91:M91),$B91/$C91)</f>
        <v>0</v>
      </c>
      <c r="O91" s="87">
        <f>IF((SUM($D91:N91)+$B91/$C91)&gt;$B91,$B91-SUM($D91:N91),$B91/$C91)</f>
        <v>0</v>
      </c>
      <c r="P91" s="87">
        <f>IF((SUM($D91:O91)+$B91/$C91)&gt;$B91,$B91-SUM($D91:O91),$B91/$C91)</f>
        <v>0</v>
      </c>
      <c r="Q91" s="87">
        <f>IF((SUM($D91:P91)+$B91/$C91)&gt;$B91,$B91-SUM($D91:P91),$B91/$C91)</f>
        <v>0</v>
      </c>
      <c r="R91" s="87">
        <f>IF((SUM($D91:Q91)+$B91/$C91)&gt;$B91,$B91-SUM($D91:Q91),$B91/$C91)</f>
        <v>0</v>
      </c>
      <c r="S91" s="87">
        <f>IF((SUM($D91:R91)+$B91/$C91)&gt;$B91,$B91-SUM($D91:R91),$B91/$C91)</f>
        <v>0</v>
      </c>
      <c r="T91" s="87">
        <f>IF((SUM($D91:S91)+$B91/$C91)&gt;$B91,$B91-SUM($D91:S91),$B91/$C91)</f>
        <v>0</v>
      </c>
      <c r="U91" s="87">
        <f>IF((SUM($D91:T91)+$B91/$C91)&gt;$B91,$B91-SUM($D91:T91),$B91/$C91)</f>
        <v>0</v>
      </c>
      <c r="V91" s="87">
        <f>IF((SUM($D91:U91)+$B91/$C91)&gt;$B91,$B91-SUM($D91:U91),$B91/$C91)</f>
        <v>0</v>
      </c>
      <c r="W91" s="87">
        <f>IF((SUM($D91:V91)+$B91/$C91)&gt;$B91,$B91-SUM($D91:V91),$B91/$C91)</f>
        <v>0</v>
      </c>
      <c r="X91" s="87">
        <f>IF((SUM($D91:W91)+$B91/$C91)&gt;$B91,$B91-SUM($D91:W91),$B91/$C91)</f>
        <v>0</v>
      </c>
      <c r="Y91" s="87">
        <f>IF((SUM($D91:X91)+$B91/$C91)&gt;$B91,$B91-SUM($D91:X91),$B91/$C91)</f>
        <v>0</v>
      </c>
      <c r="Z91" s="87">
        <f>IF((SUM($D91:Y91)+$B91/$C91)&gt;$B91,$B91-SUM($D91:Y91),$B91/$C91)</f>
        <v>0</v>
      </c>
      <c r="AA91" s="87">
        <f>IF((SUM($D91:Z91)+$B91/$C91)&gt;$B91,$B91-SUM($D91:Z91),$B91/$C91)</f>
        <v>0</v>
      </c>
    </row>
    <row r="92" spans="1:27" outlineLevel="1" x14ac:dyDescent="0.25">
      <c r="A92" s="356"/>
      <c r="B92" s="472">
        <f>SUM(B89:B91)</f>
        <v>12046.751022758806</v>
      </c>
      <c r="D92" s="109">
        <f>SUM(D89:D91)</f>
        <v>2409.3502045517616</v>
      </c>
      <c r="E92" s="109">
        <f t="shared" ref="E92:W92" si="36">SUM(E89:E91)</f>
        <v>2409.3502045517616</v>
      </c>
      <c r="F92" s="109">
        <f t="shared" si="36"/>
        <v>2409.3502045517616</v>
      </c>
      <c r="G92" s="109">
        <f t="shared" si="36"/>
        <v>2409.3502045517616</v>
      </c>
      <c r="H92" s="109">
        <f t="shared" si="36"/>
        <v>2409.3502045517616</v>
      </c>
      <c r="I92" s="109">
        <f t="shared" si="36"/>
        <v>0</v>
      </c>
      <c r="J92" s="109">
        <f t="shared" si="36"/>
        <v>0</v>
      </c>
      <c r="K92" s="109">
        <f t="shared" si="36"/>
        <v>0</v>
      </c>
      <c r="L92" s="109">
        <f t="shared" si="36"/>
        <v>0</v>
      </c>
      <c r="M92" s="109">
        <f t="shared" si="36"/>
        <v>0</v>
      </c>
      <c r="N92" s="109">
        <f t="shared" si="36"/>
        <v>0</v>
      </c>
      <c r="O92" s="109">
        <f t="shared" si="36"/>
        <v>0</v>
      </c>
      <c r="P92" s="109">
        <f t="shared" si="36"/>
        <v>0</v>
      </c>
      <c r="Q92" s="109">
        <f t="shared" si="36"/>
        <v>0</v>
      </c>
      <c r="R92" s="109">
        <f t="shared" si="36"/>
        <v>0</v>
      </c>
      <c r="S92" s="109">
        <f t="shared" si="36"/>
        <v>0</v>
      </c>
      <c r="T92" s="109">
        <f t="shared" si="36"/>
        <v>0</v>
      </c>
      <c r="U92" s="109">
        <f t="shared" si="36"/>
        <v>0</v>
      </c>
      <c r="V92" s="109">
        <f t="shared" si="36"/>
        <v>0</v>
      </c>
      <c r="W92" s="109">
        <f t="shared" si="36"/>
        <v>0</v>
      </c>
      <c r="X92" s="109">
        <f>SUM(X89:X91)</f>
        <v>0</v>
      </c>
      <c r="Y92" s="109">
        <f>SUM(Y89:Y91)</f>
        <v>0</v>
      </c>
      <c r="Z92" s="109">
        <f>SUM(Z89:Z91)</f>
        <v>0</v>
      </c>
      <c r="AA92" s="109">
        <f>SUM(AA89:AA91)</f>
        <v>0</v>
      </c>
    </row>
    <row r="93" spans="1:27" outlineLevel="1" x14ac:dyDescent="0.25"/>
    <row r="94" spans="1:27" outlineLevel="1" x14ac:dyDescent="0.25"/>
    <row r="95" spans="1:27" outlineLevel="1" x14ac:dyDescent="0.25">
      <c r="A95" s="346" t="s">
        <v>260</v>
      </c>
      <c r="B95" s="473" t="s">
        <v>320</v>
      </c>
      <c r="C95" s="308" t="s">
        <v>323</v>
      </c>
      <c r="D95" s="468">
        <f>D$4</f>
        <v>2009</v>
      </c>
      <c r="E95" s="468">
        <f t="shared" ref="E95:AA95" si="37">E$4</f>
        <v>2010</v>
      </c>
      <c r="F95" s="468">
        <f t="shared" si="37"/>
        <v>2011</v>
      </c>
      <c r="G95" s="468">
        <f t="shared" si="37"/>
        <v>2012</v>
      </c>
      <c r="H95" s="468">
        <f t="shared" si="37"/>
        <v>2013</v>
      </c>
      <c r="I95" s="468">
        <f t="shared" si="37"/>
        <v>2014</v>
      </c>
      <c r="J95" s="468">
        <f t="shared" si="37"/>
        <v>2015</v>
      </c>
      <c r="K95" s="468">
        <f t="shared" si="37"/>
        <v>2016</v>
      </c>
      <c r="L95" s="468">
        <f t="shared" si="37"/>
        <v>2017</v>
      </c>
      <c r="M95" s="468">
        <f t="shared" si="37"/>
        <v>2018</v>
      </c>
      <c r="N95" s="468">
        <f t="shared" si="37"/>
        <v>2019</v>
      </c>
      <c r="O95" s="468">
        <f t="shared" si="37"/>
        <v>2020</v>
      </c>
      <c r="P95" s="468">
        <f t="shared" si="37"/>
        <v>2021</v>
      </c>
      <c r="Q95" s="468">
        <f t="shared" si="37"/>
        <v>2022</v>
      </c>
      <c r="R95" s="468">
        <f t="shared" si="37"/>
        <v>2023</v>
      </c>
      <c r="S95" s="468">
        <f t="shared" si="37"/>
        <v>2024</v>
      </c>
      <c r="T95" s="468">
        <f t="shared" si="37"/>
        <v>2025</v>
      </c>
      <c r="U95" s="468">
        <f t="shared" si="37"/>
        <v>2026</v>
      </c>
      <c r="V95" s="468">
        <f t="shared" si="37"/>
        <v>2027</v>
      </c>
      <c r="W95" s="468">
        <f t="shared" si="37"/>
        <v>2028</v>
      </c>
      <c r="X95" s="468">
        <f t="shared" si="37"/>
        <v>2029</v>
      </c>
      <c r="Y95" s="468">
        <f t="shared" si="37"/>
        <v>2030</v>
      </c>
      <c r="Z95" s="468">
        <f t="shared" si="37"/>
        <v>2031</v>
      </c>
      <c r="AA95" s="468">
        <f t="shared" si="37"/>
        <v>2032</v>
      </c>
    </row>
    <row r="96" spans="1:27" outlineLevel="1" x14ac:dyDescent="0.25">
      <c r="A96" s="346" t="str">
        <f>$A$4</f>
        <v>($000 Real 2008)</v>
      </c>
      <c r="B96" s="474" t="s">
        <v>321</v>
      </c>
      <c r="C96" s="475" t="s">
        <v>322</v>
      </c>
      <c r="D96" s="460"/>
      <c r="E96" s="460"/>
      <c r="F96" s="460"/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0"/>
      <c r="S96" s="460"/>
      <c r="T96" s="460"/>
      <c r="U96" s="460"/>
      <c r="V96" s="460"/>
      <c r="W96" s="460"/>
      <c r="X96" s="460"/>
      <c r="Y96" s="460"/>
      <c r="Z96" s="460"/>
      <c r="AA96" s="460"/>
    </row>
    <row r="97" spans="1:27" outlineLevel="1" x14ac:dyDescent="0.25">
      <c r="A97" s="469">
        <v>2006</v>
      </c>
      <c r="B97" s="471">
        <f>'Offset of Costs and Rev 2006-08'!D$150-'Offset of Costs and Rev 2006-08'!D$151-SUM('Offset of Costs and Rev 2006-08'!D214:F214)</f>
        <v>915.10506008010668</v>
      </c>
      <c r="C97" s="467">
        <f>IF('Data 2006-08'!C$34="",5,('Data 2006-08'!C$34-D$95+1))</f>
        <v>5</v>
      </c>
      <c r="D97" s="87">
        <f>IF(C97&lt;1,B97,B97/C97)</f>
        <v>183.02101201602133</v>
      </c>
      <c r="E97" s="87">
        <f>IF((SUM($D97:D97)+$B97/$C97)&gt;$B97,$B97-SUM($D97:D97),$B97/$C97)</f>
        <v>183.02101201602133</v>
      </c>
      <c r="F97" s="87">
        <f>IF((SUM($D97:E97)+$B97/$C97)&gt;$B97,$B97-SUM($D97:E97),$B97/$C97)</f>
        <v>183.02101201602133</v>
      </c>
      <c r="G97" s="87">
        <f>IF((SUM($D97:F97)+$B97/$C97)&gt;$B97,$B97-SUM($D97:F97),$B97/$C97)</f>
        <v>183.02101201602133</v>
      </c>
      <c r="H97" s="87">
        <f>IF((SUM($D97:G97)+$B97/$C97)&gt;$B97,$B97-SUM($D97:G97),$B97/$C97)</f>
        <v>183.02101201602133</v>
      </c>
      <c r="I97" s="87">
        <f>IF((SUM($D97:H97)+$B97/$C97)&gt;$B97,$B97-SUM($D97:H97),$B97/$C97)</f>
        <v>0</v>
      </c>
      <c r="J97" s="87">
        <f>IF((SUM($D97:I97)+$B97/$C97)&gt;$B97,$B97-SUM($D97:I97),$B97/$C97)</f>
        <v>0</v>
      </c>
      <c r="K97" s="87">
        <f>IF((SUM($D97:J97)+$B97/$C97)&gt;$B97,$B97-SUM($D97:J97),$B97/$C97)</f>
        <v>0</v>
      </c>
      <c r="L97" s="87">
        <f>IF((SUM($D97:K97)+$B97/$C97)&gt;$B97,$B97-SUM($D97:K97),$B97/$C97)</f>
        <v>0</v>
      </c>
      <c r="M97" s="87">
        <f>IF((SUM($D97:L97)+$B97/$C97)&gt;$B97,$B97-SUM($D97:L97),$B97/$C97)</f>
        <v>0</v>
      </c>
      <c r="N97" s="87">
        <f>IF((SUM($D97:M97)+$B97/$C97)&gt;$B97,$B97-SUM($D97:M97),$B97/$C97)</f>
        <v>0</v>
      </c>
      <c r="O97" s="87">
        <f>IF((SUM($D97:N97)+$B97/$C97)&gt;$B97,$B97-SUM($D97:N97),$B97/$C97)</f>
        <v>0</v>
      </c>
      <c r="P97" s="87">
        <f>IF((SUM($D97:O97)+$B97/$C97)&gt;$B97,$B97-SUM($D97:O97),$B97/$C97)</f>
        <v>0</v>
      </c>
      <c r="Q97" s="87">
        <f>IF((SUM($D97:P97)+$B97/$C97)&gt;$B97,$B97-SUM($D97:P97),$B97/$C97)</f>
        <v>0</v>
      </c>
      <c r="R97" s="87">
        <f>IF((SUM($D97:Q97)+$B97/$C97)&gt;$B97,$B97-SUM($D97:Q97),$B97/$C97)</f>
        <v>0</v>
      </c>
      <c r="S97" s="87">
        <f>IF((SUM($D97:R97)+$B97/$C97)&gt;$B97,$B97-SUM($D97:R97),$B97/$C97)</f>
        <v>0</v>
      </c>
      <c r="T97" s="87">
        <f>IF((SUM($D97:S97)+$B97/$C97)&gt;$B97,$B97-SUM($D97:S97),$B97/$C97)</f>
        <v>0</v>
      </c>
      <c r="U97" s="87">
        <f>IF((SUM($D97:T97)+$B97/$C97)&gt;$B97,$B97-SUM($D97:T97),$B97/$C97)</f>
        <v>0</v>
      </c>
      <c r="V97" s="87">
        <f>IF((SUM($D97:U97)+$B97/$C97)&gt;$B97,$B97-SUM($D97:U97),$B97/$C97)</f>
        <v>0</v>
      </c>
      <c r="W97" s="87">
        <f>IF((SUM($D97:V97)+$B97/$C97)&gt;$B97,$B97-SUM($D97:V97),$B97/$C97)</f>
        <v>0</v>
      </c>
      <c r="X97" s="87">
        <f>IF((SUM($D97:W97)+$B97/$C97)&gt;$B97,$B97-SUM($D97:W97),$B97/$C97)</f>
        <v>0</v>
      </c>
      <c r="Y97" s="87">
        <f>IF((SUM($D97:X97)+$B97/$C97)&gt;$B97,$B97-SUM($D97:X97),$B97/$C97)</f>
        <v>0</v>
      </c>
      <c r="Z97" s="87">
        <f>IF((SUM($D97:Y97)+$B97/$C97)&gt;$B97,$B97-SUM($D97:Y97),$B97/$C97)</f>
        <v>0</v>
      </c>
      <c r="AA97" s="87">
        <f>IF((SUM($D97:Z97)+$B97/$C97)&gt;$B97,$B97-SUM($D97:Z97),$B97/$C97)</f>
        <v>0</v>
      </c>
    </row>
    <row r="98" spans="1:27" outlineLevel="1" x14ac:dyDescent="0.25">
      <c r="A98" s="469">
        <v>2007</v>
      </c>
      <c r="B98" s="471">
        <f>'Offset of Costs and Rev 2006-08'!E$150-'Offset of Costs and Rev 2006-08'!E$151-SUM('Offset of Costs and Rev 2006-08'!D215:F215)</f>
        <v>2657.0342715261895</v>
      </c>
      <c r="C98" s="467">
        <f>IF('Data 2006-08'!C$34="",5,('Data 2006-08'!C$34-D$95+1))</f>
        <v>5</v>
      </c>
      <c r="D98" s="87">
        <f>IF(C98&lt;1,B98,B98/C98)</f>
        <v>531.40685430523786</v>
      </c>
      <c r="E98" s="87">
        <f>IF((SUM($D98:D98)+$B98/$C98)&gt;$B98,$B98-SUM($D98:D98),$B98/$C98)</f>
        <v>531.40685430523786</v>
      </c>
      <c r="F98" s="87">
        <f>IF((SUM($D98:E98)+$B98/$C98)&gt;$B98,$B98-SUM($D98:E98),$B98/$C98)</f>
        <v>531.40685430523786</v>
      </c>
      <c r="G98" s="87">
        <f>IF((SUM($D98:F98)+$B98/$C98)&gt;$B98,$B98-SUM($D98:F98),$B98/$C98)</f>
        <v>531.40685430523786</v>
      </c>
      <c r="H98" s="87">
        <f>IF((SUM($D98:G98)+$B98/$C98)&gt;$B98,$B98-SUM($D98:G98),$B98/$C98)</f>
        <v>531.40685430523786</v>
      </c>
      <c r="I98" s="87">
        <f>IF((SUM($D98:H98)+$B98/$C98)&gt;$B98,$B98-SUM($D98:H98),$B98/$C98)</f>
        <v>0</v>
      </c>
      <c r="J98" s="87">
        <f>IF((SUM($D98:I98)+$B98/$C98)&gt;$B98,$B98-SUM($D98:I98),$B98/$C98)</f>
        <v>0</v>
      </c>
      <c r="K98" s="87">
        <f>IF((SUM($D98:J98)+$B98/$C98)&gt;$B98,$B98-SUM($D98:J98),$B98/$C98)</f>
        <v>0</v>
      </c>
      <c r="L98" s="87">
        <f>IF((SUM($D98:K98)+$B98/$C98)&gt;$B98,$B98-SUM($D98:K98),$B98/$C98)</f>
        <v>0</v>
      </c>
      <c r="M98" s="87">
        <f>IF((SUM($D98:L98)+$B98/$C98)&gt;$B98,$B98-SUM($D98:L98),$B98/$C98)</f>
        <v>0</v>
      </c>
      <c r="N98" s="87">
        <f>IF((SUM($D98:M98)+$B98/$C98)&gt;$B98,$B98-SUM($D98:M98),$B98/$C98)</f>
        <v>0</v>
      </c>
      <c r="O98" s="87">
        <f>IF((SUM($D98:N98)+$B98/$C98)&gt;$B98,$B98-SUM($D98:N98),$B98/$C98)</f>
        <v>0</v>
      </c>
      <c r="P98" s="87">
        <f>IF((SUM($D98:O98)+$B98/$C98)&gt;$B98,$B98-SUM($D98:O98),$B98/$C98)</f>
        <v>0</v>
      </c>
      <c r="Q98" s="87">
        <f>IF((SUM($D98:P98)+$B98/$C98)&gt;$B98,$B98-SUM($D98:P98),$B98/$C98)</f>
        <v>0</v>
      </c>
      <c r="R98" s="87">
        <f>IF((SUM($D98:Q98)+$B98/$C98)&gt;$B98,$B98-SUM($D98:Q98),$B98/$C98)</f>
        <v>0</v>
      </c>
      <c r="S98" s="87">
        <f>IF((SUM($D98:R98)+$B98/$C98)&gt;$B98,$B98-SUM($D98:R98),$B98/$C98)</f>
        <v>0</v>
      </c>
      <c r="T98" s="87">
        <f>IF((SUM($D98:S98)+$B98/$C98)&gt;$B98,$B98-SUM($D98:S98),$B98/$C98)</f>
        <v>0</v>
      </c>
      <c r="U98" s="87">
        <f>IF((SUM($D98:T98)+$B98/$C98)&gt;$B98,$B98-SUM($D98:T98),$B98/$C98)</f>
        <v>0</v>
      </c>
      <c r="V98" s="87">
        <f>IF((SUM($D98:U98)+$B98/$C98)&gt;$B98,$B98-SUM($D98:U98),$B98/$C98)</f>
        <v>0</v>
      </c>
      <c r="W98" s="87">
        <f>IF((SUM($D98:V98)+$B98/$C98)&gt;$B98,$B98-SUM($D98:V98),$B98/$C98)</f>
        <v>0</v>
      </c>
      <c r="X98" s="87">
        <f>IF((SUM($D98:W98)+$B98/$C98)&gt;$B98,$B98-SUM($D98:W98),$B98/$C98)</f>
        <v>0</v>
      </c>
      <c r="Y98" s="87">
        <f>IF((SUM($D98:X98)+$B98/$C98)&gt;$B98,$B98-SUM($D98:X98),$B98/$C98)</f>
        <v>0</v>
      </c>
      <c r="Z98" s="87">
        <f>IF((SUM($D98:Y98)+$B98/$C98)&gt;$B98,$B98-SUM($D98:Y98),$B98/$C98)</f>
        <v>0</v>
      </c>
      <c r="AA98" s="87">
        <f>IF((SUM($D98:Z98)+$B98/$C98)&gt;$B98,$B98-SUM($D98:Z98),$B98/$C98)</f>
        <v>0</v>
      </c>
    </row>
    <row r="99" spans="1:27" outlineLevel="1" x14ac:dyDescent="0.25">
      <c r="A99" s="469">
        <v>2008</v>
      </c>
      <c r="B99" s="471">
        <f>'Offset of Costs and Rev 2006-08'!F$150-'Offset of Costs and Rev 2006-08'!F$151-SUM('Offset of Costs and Rev 2006-08'!D216:F216)</f>
        <v>3875.319844308925</v>
      </c>
      <c r="C99" s="467">
        <f>IF('Data 2006-08'!C$34="",5,('Data 2006-08'!C$34-D$95+1))</f>
        <v>5</v>
      </c>
      <c r="D99" s="87">
        <f>IF(C99&lt;1,B99,B99/C99)</f>
        <v>775.06396886178504</v>
      </c>
      <c r="E99" s="87">
        <f>IF((SUM($D99:D99)+$B99/$C99)&gt;$B99,$B99-SUM($D99:D99),$B99/$C99)</f>
        <v>775.06396886178504</v>
      </c>
      <c r="F99" s="87">
        <f>IF((SUM($D99:E99)+$B99/$C99)&gt;$B99,$B99-SUM($D99:E99),$B99/$C99)</f>
        <v>775.06396886178504</v>
      </c>
      <c r="G99" s="87">
        <f>IF((SUM($D99:F99)+$B99/$C99)&gt;$B99,$B99-SUM($D99:F99),$B99/$C99)</f>
        <v>775.06396886178504</v>
      </c>
      <c r="H99" s="87">
        <f>IF((SUM($D99:G99)+$B99/$C99)&gt;$B99,$B99-SUM($D99:G99),$B99/$C99)</f>
        <v>775.06396886178504</v>
      </c>
      <c r="I99" s="87">
        <f>IF((SUM($D99:H99)+$B99/$C99)&gt;$B99,$B99-SUM($D99:H99),$B99/$C99)</f>
        <v>0</v>
      </c>
      <c r="J99" s="87">
        <f>IF((SUM($D99:I99)+$B99/$C99)&gt;$B99,$B99-SUM($D99:I99),$B99/$C99)</f>
        <v>0</v>
      </c>
      <c r="K99" s="87">
        <f>IF((SUM($D99:J99)+$B99/$C99)&gt;$B99,$B99-SUM($D99:J99),$B99/$C99)</f>
        <v>0</v>
      </c>
      <c r="L99" s="87">
        <f>IF((SUM($D99:K99)+$B99/$C99)&gt;$B99,$B99-SUM($D99:K99),$B99/$C99)</f>
        <v>0</v>
      </c>
      <c r="M99" s="87">
        <f>IF((SUM($D99:L99)+$B99/$C99)&gt;$B99,$B99-SUM($D99:L99),$B99/$C99)</f>
        <v>0</v>
      </c>
      <c r="N99" s="87">
        <f>IF((SUM($D99:M99)+$B99/$C99)&gt;$B99,$B99-SUM($D99:M99),$B99/$C99)</f>
        <v>0</v>
      </c>
      <c r="O99" s="87">
        <f>IF((SUM($D99:N99)+$B99/$C99)&gt;$B99,$B99-SUM($D99:N99),$B99/$C99)</f>
        <v>0</v>
      </c>
      <c r="P99" s="87">
        <f>IF((SUM($D99:O99)+$B99/$C99)&gt;$B99,$B99-SUM($D99:O99),$B99/$C99)</f>
        <v>0</v>
      </c>
      <c r="Q99" s="87">
        <f>IF((SUM($D99:P99)+$B99/$C99)&gt;$B99,$B99-SUM($D99:P99),$B99/$C99)</f>
        <v>0</v>
      </c>
      <c r="R99" s="87">
        <f>IF((SUM($D99:Q99)+$B99/$C99)&gt;$B99,$B99-SUM($D99:Q99),$B99/$C99)</f>
        <v>0</v>
      </c>
      <c r="S99" s="87">
        <f>IF((SUM($D99:R99)+$B99/$C99)&gt;$B99,$B99-SUM($D99:R99),$B99/$C99)</f>
        <v>0</v>
      </c>
      <c r="T99" s="87">
        <f>IF((SUM($D99:S99)+$B99/$C99)&gt;$B99,$B99-SUM($D99:S99),$B99/$C99)</f>
        <v>0</v>
      </c>
      <c r="U99" s="87">
        <f>IF((SUM($D99:T99)+$B99/$C99)&gt;$B99,$B99-SUM($D99:T99),$B99/$C99)</f>
        <v>0</v>
      </c>
      <c r="V99" s="87">
        <f>IF((SUM($D99:U99)+$B99/$C99)&gt;$B99,$B99-SUM($D99:U99),$B99/$C99)</f>
        <v>0</v>
      </c>
      <c r="W99" s="87">
        <f>IF((SUM($D99:V99)+$B99/$C99)&gt;$B99,$B99-SUM($D99:V99),$B99/$C99)</f>
        <v>0</v>
      </c>
      <c r="X99" s="87">
        <f>IF((SUM($D99:W99)+$B99/$C99)&gt;$B99,$B99-SUM($D99:W99),$B99/$C99)</f>
        <v>0</v>
      </c>
      <c r="Y99" s="87">
        <f>IF((SUM($D99:X99)+$B99/$C99)&gt;$B99,$B99-SUM($D99:X99),$B99/$C99)</f>
        <v>0</v>
      </c>
      <c r="Z99" s="87">
        <f>IF((SUM($D99:Y99)+$B99/$C99)&gt;$B99,$B99-SUM($D99:Y99),$B99/$C99)</f>
        <v>0</v>
      </c>
      <c r="AA99" s="87">
        <f>IF((SUM($D99:Z99)+$B99/$C99)&gt;$B99,$B99-SUM($D99:Z99),$B99/$C99)</f>
        <v>0</v>
      </c>
    </row>
    <row r="100" spans="1:27" outlineLevel="1" x14ac:dyDescent="0.25">
      <c r="A100" s="356"/>
      <c r="B100" s="472">
        <f>SUM(B97:B99)</f>
        <v>7447.4591759152208</v>
      </c>
      <c r="D100" s="109">
        <f>SUM(D97:D99)</f>
        <v>1489.4918351830443</v>
      </c>
      <c r="E100" s="109">
        <f t="shared" ref="E100:W100" si="38">SUM(E97:E99)</f>
        <v>1489.4918351830443</v>
      </c>
      <c r="F100" s="109">
        <f t="shared" si="38"/>
        <v>1489.4918351830443</v>
      </c>
      <c r="G100" s="109">
        <f t="shared" si="38"/>
        <v>1489.4918351830443</v>
      </c>
      <c r="H100" s="109">
        <f t="shared" si="38"/>
        <v>1489.4918351830443</v>
      </c>
      <c r="I100" s="109">
        <f t="shared" si="38"/>
        <v>0</v>
      </c>
      <c r="J100" s="109">
        <f t="shared" si="38"/>
        <v>0</v>
      </c>
      <c r="K100" s="109">
        <f t="shared" si="38"/>
        <v>0</v>
      </c>
      <c r="L100" s="109">
        <f t="shared" si="38"/>
        <v>0</v>
      </c>
      <c r="M100" s="109">
        <f t="shared" si="38"/>
        <v>0</v>
      </c>
      <c r="N100" s="109">
        <f t="shared" si="38"/>
        <v>0</v>
      </c>
      <c r="O100" s="109">
        <f t="shared" si="38"/>
        <v>0</v>
      </c>
      <c r="P100" s="109">
        <f t="shared" si="38"/>
        <v>0</v>
      </c>
      <c r="Q100" s="109">
        <f t="shared" si="38"/>
        <v>0</v>
      </c>
      <c r="R100" s="109">
        <f t="shared" si="38"/>
        <v>0</v>
      </c>
      <c r="S100" s="109">
        <f t="shared" si="38"/>
        <v>0</v>
      </c>
      <c r="T100" s="109">
        <f t="shared" si="38"/>
        <v>0</v>
      </c>
      <c r="U100" s="109">
        <f t="shared" si="38"/>
        <v>0</v>
      </c>
      <c r="V100" s="109">
        <f t="shared" si="38"/>
        <v>0</v>
      </c>
      <c r="W100" s="109">
        <f t="shared" si="38"/>
        <v>0</v>
      </c>
      <c r="X100" s="109">
        <f>SUM(X97:X99)</f>
        <v>0</v>
      </c>
      <c r="Y100" s="109">
        <f>SUM(Y97:Y99)</f>
        <v>0</v>
      </c>
      <c r="Z100" s="109">
        <f>SUM(Z97:Z99)</f>
        <v>0</v>
      </c>
      <c r="AA100" s="109">
        <f>SUM(AA97:AA99)</f>
        <v>0</v>
      </c>
    </row>
    <row r="101" spans="1:27" outlineLevel="1" x14ac:dyDescent="0.25"/>
    <row r="102" spans="1:27" outlineLevel="1" x14ac:dyDescent="0.25"/>
    <row r="103" spans="1:27" outlineLevel="1" x14ac:dyDescent="0.25">
      <c r="A103" s="346" t="s">
        <v>277</v>
      </c>
      <c r="B103" s="473" t="s">
        <v>320</v>
      </c>
      <c r="C103" s="308" t="s">
        <v>323</v>
      </c>
      <c r="D103" s="468">
        <f>D$4</f>
        <v>2009</v>
      </c>
      <c r="E103" s="468">
        <f t="shared" ref="E103:AA103" si="39">E$4</f>
        <v>2010</v>
      </c>
      <c r="F103" s="468">
        <f t="shared" si="39"/>
        <v>2011</v>
      </c>
      <c r="G103" s="468">
        <f t="shared" si="39"/>
        <v>2012</v>
      </c>
      <c r="H103" s="468">
        <f t="shared" si="39"/>
        <v>2013</v>
      </c>
      <c r="I103" s="468">
        <f t="shared" si="39"/>
        <v>2014</v>
      </c>
      <c r="J103" s="468">
        <f t="shared" si="39"/>
        <v>2015</v>
      </c>
      <c r="K103" s="468">
        <f t="shared" si="39"/>
        <v>2016</v>
      </c>
      <c r="L103" s="468">
        <f t="shared" si="39"/>
        <v>2017</v>
      </c>
      <c r="M103" s="468">
        <f t="shared" si="39"/>
        <v>2018</v>
      </c>
      <c r="N103" s="468">
        <f t="shared" si="39"/>
        <v>2019</v>
      </c>
      <c r="O103" s="468">
        <f t="shared" si="39"/>
        <v>2020</v>
      </c>
      <c r="P103" s="468">
        <f t="shared" si="39"/>
        <v>2021</v>
      </c>
      <c r="Q103" s="468">
        <f t="shared" si="39"/>
        <v>2022</v>
      </c>
      <c r="R103" s="468">
        <f t="shared" si="39"/>
        <v>2023</v>
      </c>
      <c r="S103" s="468">
        <f t="shared" si="39"/>
        <v>2024</v>
      </c>
      <c r="T103" s="468">
        <f t="shared" si="39"/>
        <v>2025</v>
      </c>
      <c r="U103" s="468">
        <f t="shared" si="39"/>
        <v>2026</v>
      </c>
      <c r="V103" s="468">
        <f t="shared" si="39"/>
        <v>2027</v>
      </c>
      <c r="W103" s="468">
        <f t="shared" si="39"/>
        <v>2028</v>
      </c>
      <c r="X103" s="468">
        <f t="shared" si="39"/>
        <v>2029</v>
      </c>
      <c r="Y103" s="468">
        <f t="shared" si="39"/>
        <v>2030</v>
      </c>
      <c r="Z103" s="468">
        <f t="shared" si="39"/>
        <v>2031</v>
      </c>
      <c r="AA103" s="468">
        <f t="shared" si="39"/>
        <v>2032</v>
      </c>
    </row>
    <row r="104" spans="1:27" outlineLevel="1" x14ac:dyDescent="0.25">
      <c r="A104" s="346" t="str">
        <f>$A$4</f>
        <v>($000 Real 2008)</v>
      </c>
      <c r="B104" s="474" t="s">
        <v>321</v>
      </c>
      <c r="C104" s="475" t="s">
        <v>322</v>
      </c>
      <c r="D104" s="460"/>
      <c r="E104" s="460"/>
      <c r="F104" s="460"/>
      <c r="G104" s="460"/>
      <c r="H104" s="460"/>
      <c r="I104" s="460"/>
      <c r="J104" s="460"/>
      <c r="K104" s="460"/>
      <c r="L104" s="460"/>
      <c r="M104" s="460"/>
      <c r="N104" s="460"/>
      <c r="O104" s="460"/>
      <c r="P104" s="460"/>
      <c r="Q104" s="460"/>
      <c r="R104" s="460"/>
      <c r="S104" s="460"/>
      <c r="T104" s="460"/>
      <c r="U104" s="460"/>
      <c r="V104" s="460"/>
      <c r="W104" s="460"/>
      <c r="X104" s="460"/>
      <c r="Y104" s="460"/>
      <c r="Z104" s="460"/>
      <c r="AA104" s="460"/>
    </row>
    <row r="105" spans="1:27" outlineLevel="1" x14ac:dyDescent="0.25">
      <c r="A105" s="469">
        <v>2006</v>
      </c>
      <c r="B105" s="471">
        <f>'Offset of Costs and Rev 2006-08'!D$160-SUM('Offset of Costs and Rev 2006-08'!D222:F222)</f>
        <v>1199.4352630173562</v>
      </c>
      <c r="C105" s="470">
        <f>'Offset of Costs and Rev 2006-08'!C222-(D$103-A105-0.5)</f>
        <v>2.5</v>
      </c>
      <c r="D105" s="87">
        <f>IF(C105&lt;1,B105,B105/C105)</f>
        <v>479.77410520694247</v>
      </c>
      <c r="E105" s="87">
        <f>IF((SUM($D105:D105)+$B105/$C105)&gt;$B105,$B105-SUM($D105:D105),$B105/$C105)</f>
        <v>479.77410520694247</v>
      </c>
      <c r="F105" s="87">
        <f>IF((SUM($D105:E105)+$B105/$C105)&gt;$B105,$B105-SUM($D105:E105),$B105/$C105)</f>
        <v>239.88705260347126</v>
      </c>
      <c r="G105" s="87">
        <f>IF((SUM($D105:F105)+$B105/$C105)&gt;$B105,$B105-SUM($D105:F105),$B105/$C105)</f>
        <v>0</v>
      </c>
      <c r="H105" s="87">
        <f>IF((SUM($D105:G105)+$B105/$C105)&gt;$B105,$B105-SUM($D105:G105),$B105/$C105)</f>
        <v>0</v>
      </c>
      <c r="I105" s="87">
        <f>IF((SUM($D105:H105)+$B105/$C105)&gt;$B105,$B105-SUM($D105:H105),$B105/$C105)</f>
        <v>0</v>
      </c>
      <c r="J105" s="87">
        <f>IF((SUM($D105:I105)+$B105/$C105)&gt;$B105,$B105-SUM($D105:I105),$B105/$C105)</f>
        <v>0</v>
      </c>
      <c r="K105" s="87">
        <f>IF((SUM($D105:J105)+$B105/$C105)&gt;$B105,$B105-SUM($D105:J105),$B105/$C105)</f>
        <v>0</v>
      </c>
      <c r="L105" s="87">
        <f>IF((SUM($D105:K105)+$B105/$C105)&gt;$B105,$B105-SUM($D105:K105),$B105/$C105)</f>
        <v>0</v>
      </c>
      <c r="M105" s="87">
        <f>IF((SUM($D105:L105)+$B105/$C105)&gt;$B105,$B105-SUM($D105:L105),$B105/$C105)</f>
        <v>0</v>
      </c>
      <c r="N105" s="87">
        <f>IF((SUM($D105:M105)+$B105/$C105)&gt;$B105,$B105-SUM($D105:M105),$B105/$C105)</f>
        <v>0</v>
      </c>
      <c r="O105" s="87">
        <f>IF((SUM($D105:N105)+$B105/$C105)&gt;$B105,$B105-SUM($D105:N105),$B105/$C105)</f>
        <v>0</v>
      </c>
      <c r="P105" s="87">
        <f>IF((SUM($D105:O105)+$B105/$C105)&gt;$B105,$B105-SUM($D105:O105),$B105/$C105)</f>
        <v>0</v>
      </c>
      <c r="Q105" s="87">
        <f>IF((SUM($D105:P105)+$B105/$C105)&gt;$B105,$B105-SUM($D105:P105),$B105/$C105)</f>
        <v>0</v>
      </c>
      <c r="R105" s="87">
        <f>IF((SUM($D105:Q105)+$B105/$C105)&gt;$B105,$B105-SUM($D105:Q105),$B105/$C105)</f>
        <v>0</v>
      </c>
      <c r="S105" s="87">
        <f>IF((SUM($D105:R105)+$B105/$C105)&gt;$B105,$B105-SUM($D105:R105),$B105/$C105)</f>
        <v>0</v>
      </c>
      <c r="T105" s="87">
        <f>IF((SUM($D105:S105)+$B105/$C105)&gt;$B105,$B105-SUM($D105:S105),$B105/$C105)</f>
        <v>0</v>
      </c>
      <c r="U105" s="87">
        <f>IF((SUM($D105:T105)+$B105/$C105)&gt;$B105,$B105-SUM($D105:T105),$B105/$C105)</f>
        <v>0</v>
      </c>
      <c r="V105" s="87">
        <f>IF((SUM($D105:U105)+$B105/$C105)&gt;$B105,$B105-SUM($D105:U105),$B105/$C105)</f>
        <v>0</v>
      </c>
      <c r="W105" s="87">
        <f>IF((SUM($D105:V105)+$B105/$C105)&gt;$B105,$B105-SUM($D105:V105),$B105/$C105)</f>
        <v>0</v>
      </c>
      <c r="X105" s="87">
        <f>IF((SUM($D105:W105)+$B105/$C105)&gt;$B105,$B105-SUM($D105:W105),$B105/$C105)</f>
        <v>0</v>
      </c>
      <c r="Y105" s="87">
        <f>IF((SUM($D105:X105)+$B105/$C105)&gt;$B105,$B105-SUM($D105:X105),$B105/$C105)</f>
        <v>0</v>
      </c>
      <c r="Z105" s="87">
        <f>IF((SUM($D105:Y105)+$B105/$C105)&gt;$B105,$B105-SUM($D105:Y105),$B105/$C105)</f>
        <v>0</v>
      </c>
      <c r="AA105" s="87">
        <f>IF((SUM($D105:Z105)+$B105/$C105)&gt;$B105,$B105-SUM($D105:Z105),$B105/$C105)</f>
        <v>0</v>
      </c>
    </row>
    <row r="106" spans="1:27" outlineLevel="1" x14ac:dyDescent="0.25">
      <c r="A106" s="469">
        <v>2007</v>
      </c>
      <c r="B106" s="471">
        <f>'Offset of Costs and Rev 2006-08'!E$160-SUM('Offset of Costs and Rev 2006-08'!D223:F223)</f>
        <v>45.406253050737178</v>
      </c>
      <c r="C106" s="470">
        <f>'Offset of Costs and Rev 2006-08'!C223-(D$103-A106-0.5)</f>
        <v>3.5</v>
      </c>
      <c r="D106" s="87">
        <f>IF(C106&lt;1,B106,B106/C106)</f>
        <v>12.973215157353479</v>
      </c>
      <c r="E106" s="87">
        <f>IF((SUM($D106:D106)+$B106/$C106)&gt;$B106,$B106-SUM($D106:D106),$B106/$C106)</f>
        <v>12.973215157353479</v>
      </c>
      <c r="F106" s="87">
        <f>IF((SUM($D106:E106)+$B106/$C106)&gt;$B106,$B106-SUM($D106:E106),$B106/$C106)</f>
        <v>12.973215157353479</v>
      </c>
      <c r="G106" s="87">
        <f>IF((SUM($D106:F106)+$B106/$C106)&gt;$B106,$B106-SUM($D106:F106),$B106/$C106)</f>
        <v>6.4866075786767396</v>
      </c>
      <c r="H106" s="87">
        <f>IF((SUM($D106:G106)+$B106/$C106)&gt;$B106,$B106-SUM($D106:G106),$B106/$C106)</f>
        <v>0</v>
      </c>
      <c r="I106" s="87">
        <f>IF((SUM($D106:H106)+$B106/$C106)&gt;$B106,$B106-SUM($D106:H106),$B106/$C106)</f>
        <v>0</v>
      </c>
      <c r="J106" s="87">
        <f>IF((SUM($D106:I106)+$B106/$C106)&gt;$B106,$B106-SUM($D106:I106),$B106/$C106)</f>
        <v>0</v>
      </c>
      <c r="K106" s="87">
        <f>IF((SUM($D106:J106)+$B106/$C106)&gt;$B106,$B106-SUM($D106:J106),$B106/$C106)</f>
        <v>0</v>
      </c>
      <c r="L106" s="87">
        <f>IF((SUM($D106:K106)+$B106/$C106)&gt;$B106,$B106-SUM($D106:K106),$B106/$C106)</f>
        <v>0</v>
      </c>
      <c r="M106" s="87">
        <f>IF((SUM($D106:L106)+$B106/$C106)&gt;$B106,$B106-SUM($D106:L106),$B106/$C106)</f>
        <v>0</v>
      </c>
      <c r="N106" s="87">
        <f>IF((SUM($D106:M106)+$B106/$C106)&gt;$B106,$B106-SUM($D106:M106),$B106/$C106)</f>
        <v>0</v>
      </c>
      <c r="O106" s="87">
        <f>IF((SUM($D106:N106)+$B106/$C106)&gt;$B106,$B106-SUM($D106:N106),$B106/$C106)</f>
        <v>0</v>
      </c>
      <c r="P106" s="87">
        <f>IF((SUM($D106:O106)+$B106/$C106)&gt;$B106,$B106-SUM($D106:O106),$B106/$C106)</f>
        <v>0</v>
      </c>
      <c r="Q106" s="87">
        <f>IF((SUM($D106:P106)+$B106/$C106)&gt;$B106,$B106-SUM($D106:P106),$B106/$C106)</f>
        <v>0</v>
      </c>
      <c r="R106" s="87">
        <f>IF((SUM($D106:Q106)+$B106/$C106)&gt;$B106,$B106-SUM($D106:Q106),$B106/$C106)</f>
        <v>0</v>
      </c>
      <c r="S106" s="87">
        <f>IF((SUM($D106:R106)+$B106/$C106)&gt;$B106,$B106-SUM($D106:R106),$B106/$C106)</f>
        <v>0</v>
      </c>
      <c r="T106" s="87">
        <f>IF((SUM($D106:S106)+$B106/$C106)&gt;$B106,$B106-SUM($D106:S106),$B106/$C106)</f>
        <v>0</v>
      </c>
      <c r="U106" s="87">
        <f>IF((SUM($D106:T106)+$B106/$C106)&gt;$B106,$B106-SUM($D106:T106),$B106/$C106)</f>
        <v>0</v>
      </c>
      <c r="V106" s="87">
        <f>IF((SUM($D106:U106)+$B106/$C106)&gt;$B106,$B106-SUM($D106:U106),$B106/$C106)</f>
        <v>0</v>
      </c>
      <c r="W106" s="87">
        <f>IF((SUM($D106:V106)+$B106/$C106)&gt;$B106,$B106-SUM($D106:V106),$B106/$C106)</f>
        <v>0</v>
      </c>
      <c r="X106" s="87">
        <f>IF((SUM($D106:W106)+$B106/$C106)&gt;$B106,$B106-SUM($D106:W106),$B106/$C106)</f>
        <v>0</v>
      </c>
      <c r="Y106" s="87">
        <f>IF((SUM($D106:X106)+$B106/$C106)&gt;$B106,$B106-SUM($D106:X106),$B106/$C106)</f>
        <v>0</v>
      </c>
      <c r="Z106" s="87">
        <f>IF((SUM($D106:Y106)+$B106/$C106)&gt;$B106,$B106-SUM($D106:Y106),$B106/$C106)</f>
        <v>0</v>
      </c>
      <c r="AA106" s="87">
        <f>IF((SUM($D106:Z106)+$B106/$C106)&gt;$B106,$B106-SUM($D106:Z106),$B106/$C106)</f>
        <v>0</v>
      </c>
    </row>
    <row r="107" spans="1:27" outlineLevel="1" x14ac:dyDescent="0.25">
      <c r="A107" s="469">
        <v>2008</v>
      </c>
      <c r="B107" s="471">
        <f>'Offset of Costs and Rev 2006-08'!F$160-SUM('Offset of Costs and Rev 2006-08'!D224:F224)</f>
        <v>100.47661110000008</v>
      </c>
      <c r="C107" s="470">
        <f>'Offset of Costs and Rev 2006-08'!C224-(D$103-A107-0.5)</f>
        <v>4.5</v>
      </c>
      <c r="D107" s="87">
        <f>IF(C107&lt;1,B107,B107/C107)</f>
        <v>22.32813580000002</v>
      </c>
      <c r="E107" s="87">
        <f>IF((SUM($D107:D107)+$B107/$C107)&gt;$B107,$B107-SUM($D107:D107),$B107/$C107)</f>
        <v>22.32813580000002</v>
      </c>
      <c r="F107" s="87">
        <f>IF((SUM($D107:E107)+$B107/$C107)&gt;$B107,$B107-SUM($D107:E107),$B107/$C107)</f>
        <v>22.32813580000002</v>
      </c>
      <c r="G107" s="87">
        <f>IF((SUM($D107:F107)+$B107/$C107)&gt;$B107,$B107-SUM($D107:F107),$B107/$C107)</f>
        <v>22.32813580000002</v>
      </c>
      <c r="H107" s="87">
        <f>IF((SUM($D107:G107)+$B107/$C107)&gt;$B107,$B107-SUM($D107:G107),$B107/$C107)</f>
        <v>11.164067900000006</v>
      </c>
      <c r="I107" s="87">
        <f>IF((SUM($D107:H107)+$B107/$C107)&gt;$B107,$B107-SUM($D107:H107),$B107/$C107)</f>
        <v>0</v>
      </c>
      <c r="J107" s="87">
        <f>IF((SUM($D107:I107)+$B107/$C107)&gt;$B107,$B107-SUM($D107:I107),$B107/$C107)</f>
        <v>0</v>
      </c>
      <c r="K107" s="87">
        <f>IF((SUM($D107:J107)+$B107/$C107)&gt;$B107,$B107-SUM($D107:J107),$B107/$C107)</f>
        <v>0</v>
      </c>
      <c r="L107" s="87">
        <f>IF((SUM($D107:K107)+$B107/$C107)&gt;$B107,$B107-SUM($D107:K107),$B107/$C107)</f>
        <v>0</v>
      </c>
      <c r="M107" s="87">
        <f>IF((SUM($D107:L107)+$B107/$C107)&gt;$B107,$B107-SUM($D107:L107),$B107/$C107)</f>
        <v>0</v>
      </c>
      <c r="N107" s="87">
        <f>IF((SUM($D107:M107)+$B107/$C107)&gt;$B107,$B107-SUM($D107:M107),$B107/$C107)</f>
        <v>0</v>
      </c>
      <c r="O107" s="87">
        <f>IF((SUM($D107:N107)+$B107/$C107)&gt;$B107,$B107-SUM($D107:N107),$B107/$C107)</f>
        <v>0</v>
      </c>
      <c r="P107" s="87">
        <f>IF((SUM($D107:O107)+$B107/$C107)&gt;$B107,$B107-SUM($D107:O107),$B107/$C107)</f>
        <v>0</v>
      </c>
      <c r="Q107" s="87">
        <f>IF((SUM($D107:P107)+$B107/$C107)&gt;$B107,$B107-SUM($D107:P107),$B107/$C107)</f>
        <v>0</v>
      </c>
      <c r="R107" s="87">
        <f>IF((SUM($D107:Q107)+$B107/$C107)&gt;$B107,$B107-SUM($D107:Q107),$B107/$C107)</f>
        <v>0</v>
      </c>
      <c r="S107" s="87">
        <f>IF((SUM($D107:R107)+$B107/$C107)&gt;$B107,$B107-SUM($D107:R107),$B107/$C107)</f>
        <v>0</v>
      </c>
      <c r="T107" s="87">
        <f>IF((SUM($D107:S107)+$B107/$C107)&gt;$B107,$B107-SUM($D107:S107),$B107/$C107)</f>
        <v>0</v>
      </c>
      <c r="U107" s="87">
        <f>IF((SUM($D107:T107)+$B107/$C107)&gt;$B107,$B107-SUM($D107:T107),$B107/$C107)</f>
        <v>0</v>
      </c>
      <c r="V107" s="87">
        <f>IF((SUM($D107:U107)+$B107/$C107)&gt;$B107,$B107-SUM($D107:U107),$B107/$C107)</f>
        <v>0</v>
      </c>
      <c r="W107" s="87">
        <f>IF((SUM($D107:V107)+$B107/$C107)&gt;$B107,$B107-SUM($D107:V107),$B107/$C107)</f>
        <v>0</v>
      </c>
      <c r="X107" s="87">
        <f>IF((SUM($D107:W107)+$B107/$C107)&gt;$B107,$B107-SUM($D107:W107),$B107/$C107)</f>
        <v>0</v>
      </c>
      <c r="Y107" s="87">
        <f>IF((SUM($D107:X107)+$B107/$C107)&gt;$B107,$B107-SUM($D107:X107),$B107/$C107)</f>
        <v>0</v>
      </c>
      <c r="Z107" s="87">
        <f>IF((SUM($D107:Y107)+$B107/$C107)&gt;$B107,$B107-SUM($D107:Y107),$B107/$C107)</f>
        <v>0</v>
      </c>
      <c r="AA107" s="87">
        <f>IF((SUM($D107:Z107)+$B107/$C107)&gt;$B107,$B107-SUM($D107:Z107),$B107/$C107)</f>
        <v>0</v>
      </c>
    </row>
    <row r="108" spans="1:27" outlineLevel="1" x14ac:dyDescent="0.25">
      <c r="B108" s="472">
        <f>SUM(B105:B107)</f>
        <v>1345.3181271680935</v>
      </c>
      <c r="D108" s="109">
        <f>SUM(D105:D107)</f>
        <v>515.07545616429593</v>
      </c>
      <c r="E108" s="109">
        <f t="shared" ref="E108:W108" si="40">SUM(E105:E107)</f>
        <v>515.07545616429593</v>
      </c>
      <c r="F108" s="109">
        <f t="shared" si="40"/>
        <v>275.18840356082478</v>
      </c>
      <c r="G108" s="109">
        <f t="shared" si="40"/>
        <v>28.814743378676759</v>
      </c>
      <c r="H108" s="109">
        <f t="shared" si="40"/>
        <v>11.164067900000006</v>
      </c>
      <c r="I108" s="109">
        <f t="shared" si="40"/>
        <v>0</v>
      </c>
      <c r="J108" s="109">
        <f t="shared" si="40"/>
        <v>0</v>
      </c>
      <c r="K108" s="109">
        <f t="shared" si="40"/>
        <v>0</v>
      </c>
      <c r="L108" s="109">
        <f t="shared" si="40"/>
        <v>0</v>
      </c>
      <c r="M108" s="109">
        <f t="shared" si="40"/>
        <v>0</v>
      </c>
      <c r="N108" s="109">
        <f t="shared" si="40"/>
        <v>0</v>
      </c>
      <c r="O108" s="109">
        <f t="shared" si="40"/>
        <v>0</v>
      </c>
      <c r="P108" s="109">
        <f t="shared" si="40"/>
        <v>0</v>
      </c>
      <c r="Q108" s="109">
        <f t="shared" si="40"/>
        <v>0</v>
      </c>
      <c r="R108" s="109">
        <f t="shared" si="40"/>
        <v>0</v>
      </c>
      <c r="S108" s="109">
        <f t="shared" si="40"/>
        <v>0</v>
      </c>
      <c r="T108" s="109">
        <f t="shared" si="40"/>
        <v>0</v>
      </c>
      <c r="U108" s="109">
        <f t="shared" si="40"/>
        <v>0</v>
      </c>
      <c r="V108" s="109">
        <f t="shared" si="40"/>
        <v>0</v>
      </c>
      <c r="W108" s="109">
        <f t="shared" si="40"/>
        <v>0</v>
      </c>
      <c r="X108" s="109">
        <f>SUM(X105:X107)</f>
        <v>0</v>
      </c>
      <c r="Y108" s="109">
        <f>SUM(Y105:Y107)</f>
        <v>0</v>
      </c>
      <c r="Z108" s="109">
        <f>SUM(Z105:Z107)</f>
        <v>0</v>
      </c>
      <c r="AA108" s="109">
        <f>SUM(AA105:AA107)</f>
        <v>0</v>
      </c>
    </row>
    <row r="109" spans="1:27" outlineLevel="1" x14ac:dyDescent="0.25"/>
    <row r="110" spans="1:27" outlineLevel="1" x14ac:dyDescent="0.25"/>
    <row r="111" spans="1:27" outlineLevel="1" x14ac:dyDescent="0.25">
      <c r="A111" s="346" t="s">
        <v>278</v>
      </c>
      <c r="B111" s="473" t="s">
        <v>320</v>
      </c>
      <c r="C111" s="308" t="s">
        <v>323</v>
      </c>
      <c r="D111" s="468">
        <f>D$4</f>
        <v>2009</v>
      </c>
      <c r="E111" s="468">
        <f t="shared" ref="E111:AA111" si="41">E$4</f>
        <v>2010</v>
      </c>
      <c r="F111" s="468">
        <f t="shared" si="41"/>
        <v>2011</v>
      </c>
      <c r="G111" s="468">
        <f t="shared" si="41"/>
        <v>2012</v>
      </c>
      <c r="H111" s="468">
        <f t="shared" si="41"/>
        <v>2013</v>
      </c>
      <c r="I111" s="468">
        <f t="shared" si="41"/>
        <v>2014</v>
      </c>
      <c r="J111" s="468">
        <f t="shared" si="41"/>
        <v>2015</v>
      </c>
      <c r="K111" s="468">
        <f t="shared" si="41"/>
        <v>2016</v>
      </c>
      <c r="L111" s="468">
        <f t="shared" si="41"/>
        <v>2017</v>
      </c>
      <c r="M111" s="468">
        <f t="shared" si="41"/>
        <v>2018</v>
      </c>
      <c r="N111" s="468">
        <f t="shared" si="41"/>
        <v>2019</v>
      </c>
      <c r="O111" s="468">
        <f t="shared" si="41"/>
        <v>2020</v>
      </c>
      <c r="P111" s="468">
        <f t="shared" si="41"/>
        <v>2021</v>
      </c>
      <c r="Q111" s="468">
        <f t="shared" si="41"/>
        <v>2022</v>
      </c>
      <c r="R111" s="468">
        <f t="shared" si="41"/>
        <v>2023</v>
      </c>
      <c r="S111" s="468">
        <f t="shared" si="41"/>
        <v>2024</v>
      </c>
      <c r="T111" s="468">
        <f t="shared" si="41"/>
        <v>2025</v>
      </c>
      <c r="U111" s="468">
        <f t="shared" si="41"/>
        <v>2026</v>
      </c>
      <c r="V111" s="468">
        <f t="shared" si="41"/>
        <v>2027</v>
      </c>
      <c r="W111" s="468">
        <f t="shared" si="41"/>
        <v>2028</v>
      </c>
      <c r="X111" s="468">
        <f t="shared" si="41"/>
        <v>2029</v>
      </c>
      <c r="Y111" s="468">
        <f t="shared" si="41"/>
        <v>2030</v>
      </c>
      <c r="Z111" s="468">
        <f t="shared" si="41"/>
        <v>2031</v>
      </c>
      <c r="AA111" s="468">
        <f t="shared" si="41"/>
        <v>2032</v>
      </c>
    </row>
    <row r="112" spans="1:27" outlineLevel="1" x14ac:dyDescent="0.25">
      <c r="A112" s="346" t="str">
        <f>$A$4</f>
        <v>($000 Real 2008)</v>
      </c>
      <c r="B112" s="474" t="s">
        <v>321</v>
      </c>
      <c r="C112" s="475" t="s">
        <v>322</v>
      </c>
      <c r="D112" s="460"/>
      <c r="E112" s="460"/>
      <c r="F112" s="460"/>
      <c r="G112" s="460"/>
      <c r="H112" s="460"/>
      <c r="I112" s="460"/>
      <c r="J112" s="460"/>
      <c r="K112" s="460"/>
      <c r="L112" s="460"/>
      <c r="M112" s="460"/>
      <c r="N112" s="460"/>
      <c r="O112" s="460"/>
      <c r="P112" s="460"/>
      <c r="Q112" s="460"/>
      <c r="R112" s="460"/>
      <c r="S112" s="460"/>
      <c r="T112" s="460"/>
      <c r="U112" s="460"/>
      <c r="V112" s="460"/>
      <c r="W112" s="460"/>
      <c r="X112" s="460"/>
      <c r="Y112" s="460"/>
      <c r="Z112" s="460"/>
      <c r="AA112" s="460"/>
    </row>
    <row r="113" spans="1:27" outlineLevel="1" x14ac:dyDescent="0.25">
      <c r="A113" s="469">
        <v>2006</v>
      </c>
      <c r="B113" s="471">
        <f>'Offset of Costs and Rev 2006-08'!D$170-SUM('Offset of Costs and Rev 2006-08'!D230:F230)</f>
        <v>117.66944793057407</v>
      </c>
      <c r="C113" s="470">
        <f>'Offset of Costs and Rev 2006-08'!C230-(D$111-A113-0.5)</f>
        <v>2.5</v>
      </c>
      <c r="D113" s="87">
        <f>IF(C113&lt;1,B113,B113/C113)</f>
        <v>47.067779172229628</v>
      </c>
      <c r="E113" s="87">
        <f>IF((SUM($D113:D113)+$B113/$C113)&gt;$B113,$B113-SUM($D113:D113),$B113/$C113)</f>
        <v>47.067779172229628</v>
      </c>
      <c r="F113" s="87">
        <f>IF((SUM($D113:E113)+$B113/$C113)&gt;$B113,$B113-SUM($D113:E113),$B113/$C113)</f>
        <v>23.53388958611481</v>
      </c>
      <c r="G113" s="87">
        <f>IF((SUM($D113:F113)+$B113/$C113)&gt;$B113,$B113-SUM($D113:F113),$B113/$C113)</f>
        <v>0</v>
      </c>
      <c r="H113" s="87">
        <f>IF((SUM($D113:G113)+$B113/$C113)&gt;$B113,$B113-SUM($D113:G113),$B113/$C113)</f>
        <v>0</v>
      </c>
      <c r="I113" s="87">
        <f>IF((SUM($D113:H113)+$B113/$C113)&gt;$B113,$B113-SUM($D113:H113),$B113/$C113)</f>
        <v>0</v>
      </c>
      <c r="J113" s="87">
        <f>IF((SUM($D113:I113)+$B113/$C113)&gt;$B113,$B113-SUM($D113:I113),$B113/$C113)</f>
        <v>0</v>
      </c>
      <c r="K113" s="87">
        <f>IF((SUM($D113:J113)+$B113/$C113)&gt;$B113,$B113-SUM($D113:J113),$B113/$C113)</f>
        <v>0</v>
      </c>
      <c r="L113" s="87">
        <f>IF((SUM($D113:K113)+$B113/$C113)&gt;$B113,$B113-SUM($D113:K113),$B113/$C113)</f>
        <v>0</v>
      </c>
      <c r="M113" s="87">
        <f>IF((SUM($D113:L113)+$B113/$C113)&gt;$B113,$B113-SUM($D113:L113),$B113/$C113)</f>
        <v>0</v>
      </c>
      <c r="N113" s="87">
        <f>IF((SUM($D113:M113)+$B113/$C113)&gt;$B113,$B113-SUM($D113:M113),$B113/$C113)</f>
        <v>0</v>
      </c>
      <c r="O113" s="87">
        <f>IF((SUM($D113:N113)+$B113/$C113)&gt;$B113,$B113-SUM($D113:N113),$B113/$C113)</f>
        <v>0</v>
      </c>
      <c r="P113" s="87">
        <f>IF((SUM($D113:O113)+$B113/$C113)&gt;$B113,$B113-SUM($D113:O113),$B113/$C113)</f>
        <v>0</v>
      </c>
      <c r="Q113" s="87">
        <f>IF((SUM($D113:P113)+$B113/$C113)&gt;$B113,$B113-SUM($D113:P113),$B113/$C113)</f>
        <v>0</v>
      </c>
      <c r="R113" s="87">
        <f>IF((SUM($D113:Q113)+$B113/$C113)&gt;$B113,$B113-SUM($D113:Q113),$B113/$C113)</f>
        <v>0</v>
      </c>
      <c r="S113" s="87">
        <f>IF((SUM($D113:R113)+$B113/$C113)&gt;$B113,$B113-SUM($D113:R113),$B113/$C113)</f>
        <v>0</v>
      </c>
      <c r="T113" s="87">
        <f>IF((SUM($D113:S113)+$B113/$C113)&gt;$B113,$B113-SUM($D113:S113),$B113/$C113)</f>
        <v>0</v>
      </c>
      <c r="U113" s="87">
        <f>IF((SUM($D113:T113)+$B113/$C113)&gt;$B113,$B113-SUM($D113:T113),$B113/$C113)</f>
        <v>0</v>
      </c>
      <c r="V113" s="87">
        <f>IF((SUM($D113:U113)+$B113/$C113)&gt;$B113,$B113-SUM($D113:U113),$B113/$C113)</f>
        <v>0</v>
      </c>
      <c r="W113" s="87">
        <f>IF((SUM($D113:V113)+$B113/$C113)&gt;$B113,$B113-SUM($D113:V113),$B113/$C113)</f>
        <v>0</v>
      </c>
      <c r="X113" s="87">
        <f>IF((SUM($D113:W113)+$B113/$C113)&gt;$B113,$B113-SUM($D113:W113),$B113/$C113)</f>
        <v>0</v>
      </c>
      <c r="Y113" s="87">
        <f>IF((SUM($D113:X113)+$B113/$C113)&gt;$B113,$B113-SUM($D113:X113),$B113/$C113)</f>
        <v>0</v>
      </c>
      <c r="Z113" s="87">
        <f>IF((SUM($D113:Y113)+$B113/$C113)&gt;$B113,$B113-SUM($D113:Y113),$B113/$C113)</f>
        <v>0</v>
      </c>
      <c r="AA113" s="87">
        <f>IF((SUM($D113:Z113)+$B113/$C113)&gt;$B113,$B113-SUM($D113:Z113),$B113/$C113)</f>
        <v>0</v>
      </c>
    </row>
    <row r="114" spans="1:27" outlineLevel="1" x14ac:dyDescent="0.25">
      <c r="A114" s="469">
        <v>2007</v>
      </c>
      <c r="B114" s="471">
        <f>'Offset of Costs and Rev 2006-08'!E$170-SUM('Offset of Costs and Rev 2006-08'!D231:F231)</f>
        <v>81.723612492270121</v>
      </c>
      <c r="C114" s="470">
        <f>'Offset of Costs and Rev 2006-08'!C231-(D$111-A114-0.5)</f>
        <v>3.5</v>
      </c>
      <c r="D114" s="87">
        <f>IF(C114&lt;1,B114,B114/C114)</f>
        <v>23.349603569220033</v>
      </c>
      <c r="E114" s="87">
        <f>IF((SUM($D114:D114)+$B114/$C114)&gt;$B114,$B114-SUM($D114:D114),$B114/$C114)</f>
        <v>23.349603569220033</v>
      </c>
      <c r="F114" s="87">
        <f>IF((SUM($D114:E114)+$B114/$C114)&gt;$B114,$B114-SUM($D114:E114),$B114/$C114)</f>
        <v>23.349603569220033</v>
      </c>
      <c r="G114" s="87">
        <f>IF((SUM($D114:F114)+$B114/$C114)&gt;$B114,$B114-SUM($D114:F114),$B114/$C114)</f>
        <v>11.674801784610025</v>
      </c>
      <c r="H114" s="87">
        <f>IF((SUM($D114:G114)+$B114/$C114)&gt;$B114,$B114-SUM($D114:G114),$B114/$C114)</f>
        <v>0</v>
      </c>
      <c r="I114" s="87">
        <f>IF((SUM($D114:H114)+$B114/$C114)&gt;$B114,$B114-SUM($D114:H114),$B114/$C114)</f>
        <v>0</v>
      </c>
      <c r="J114" s="87">
        <f>IF((SUM($D114:I114)+$B114/$C114)&gt;$B114,$B114-SUM($D114:I114),$B114/$C114)</f>
        <v>0</v>
      </c>
      <c r="K114" s="87">
        <f>IF((SUM($D114:J114)+$B114/$C114)&gt;$B114,$B114-SUM($D114:J114),$B114/$C114)</f>
        <v>0</v>
      </c>
      <c r="L114" s="87">
        <f>IF((SUM($D114:K114)+$B114/$C114)&gt;$B114,$B114-SUM($D114:K114),$B114/$C114)</f>
        <v>0</v>
      </c>
      <c r="M114" s="87">
        <f>IF((SUM($D114:L114)+$B114/$C114)&gt;$B114,$B114-SUM($D114:L114),$B114/$C114)</f>
        <v>0</v>
      </c>
      <c r="N114" s="87">
        <f>IF((SUM($D114:M114)+$B114/$C114)&gt;$B114,$B114-SUM($D114:M114),$B114/$C114)</f>
        <v>0</v>
      </c>
      <c r="O114" s="87">
        <f>IF((SUM($D114:N114)+$B114/$C114)&gt;$B114,$B114-SUM($D114:N114),$B114/$C114)</f>
        <v>0</v>
      </c>
      <c r="P114" s="87">
        <f>IF((SUM($D114:O114)+$B114/$C114)&gt;$B114,$B114-SUM($D114:O114),$B114/$C114)</f>
        <v>0</v>
      </c>
      <c r="Q114" s="87">
        <f>IF((SUM($D114:P114)+$B114/$C114)&gt;$B114,$B114-SUM($D114:P114),$B114/$C114)</f>
        <v>0</v>
      </c>
      <c r="R114" s="87">
        <f>IF((SUM($D114:Q114)+$B114/$C114)&gt;$B114,$B114-SUM($D114:Q114),$B114/$C114)</f>
        <v>0</v>
      </c>
      <c r="S114" s="87">
        <f>IF((SUM($D114:R114)+$B114/$C114)&gt;$B114,$B114-SUM($D114:R114),$B114/$C114)</f>
        <v>0</v>
      </c>
      <c r="T114" s="87">
        <f>IF((SUM($D114:S114)+$B114/$C114)&gt;$B114,$B114-SUM($D114:S114),$B114/$C114)</f>
        <v>0</v>
      </c>
      <c r="U114" s="87">
        <f>IF((SUM($D114:T114)+$B114/$C114)&gt;$B114,$B114-SUM($D114:T114),$B114/$C114)</f>
        <v>0</v>
      </c>
      <c r="V114" s="87">
        <f>IF((SUM($D114:U114)+$B114/$C114)&gt;$B114,$B114-SUM($D114:U114),$B114/$C114)</f>
        <v>0</v>
      </c>
      <c r="W114" s="87">
        <f>IF((SUM($D114:V114)+$B114/$C114)&gt;$B114,$B114-SUM($D114:V114),$B114/$C114)</f>
        <v>0</v>
      </c>
      <c r="X114" s="87">
        <f>IF((SUM($D114:W114)+$B114/$C114)&gt;$B114,$B114-SUM($D114:W114),$B114/$C114)</f>
        <v>0</v>
      </c>
      <c r="Y114" s="87">
        <f>IF((SUM($D114:X114)+$B114/$C114)&gt;$B114,$B114-SUM($D114:X114),$B114/$C114)</f>
        <v>0</v>
      </c>
      <c r="Z114" s="87">
        <f>IF((SUM($D114:Y114)+$B114/$C114)&gt;$B114,$B114-SUM($D114:Y114),$B114/$C114)</f>
        <v>0</v>
      </c>
      <c r="AA114" s="87">
        <f>IF((SUM($D114:Z114)+$B114/$C114)&gt;$B114,$B114-SUM($D114:Z114),$B114/$C114)</f>
        <v>0</v>
      </c>
    </row>
    <row r="115" spans="1:27" outlineLevel="1" x14ac:dyDescent="0.25">
      <c r="A115" s="469">
        <v>2008</v>
      </c>
      <c r="B115" s="471">
        <f>'Offset of Costs and Rev 2006-08'!F$170-SUM('Offset of Costs and Rev 2006-08'!D232:F232)</f>
        <v>0</v>
      </c>
      <c r="C115" s="470">
        <f>'Offset of Costs and Rev 2006-08'!C232-(D$111-A115-0.5)</f>
        <v>4.5</v>
      </c>
      <c r="D115" s="87">
        <f>IF(C115&lt;1,B115,B115/C115)</f>
        <v>0</v>
      </c>
      <c r="E115" s="87">
        <f>IF((SUM($D115:D115)+$B115/$C115)&gt;$B115,$B115-SUM($D115:D115),$B115/$C115)</f>
        <v>0</v>
      </c>
      <c r="F115" s="87">
        <f>IF((SUM($D115:E115)+$B115/$C115)&gt;$B115,$B115-SUM($D115:E115),$B115/$C115)</f>
        <v>0</v>
      </c>
      <c r="G115" s="87">
        <f>IF((SUM($D115:F115)+$B115/$C115)&gt;$B115,$B115-SUM($D115:F115),$B115/$C115)</f>
        <v>0</v>
      </c>
      <c r="H115" s="87">
        <f>IF((SUM($D115:G115)+$B115/$C115)&gt;$B115,$B115-SUM($D115:G115),$B115/$C115)</f>
        <v>0</v>
      </c>
      <c r="I115" s="87">
        <f>IF((SUM($D115:H115)+$B115/$C115)&gt;$B115,$B115-SUM($D115:H115),$B115/$C115)</f>
        <v>0</v>
      </c>
      <c r="J115" s="87">
        <f>IF((SUM($D115:I115)+$B115/$C115)&gt;$B115,$B115-SUM($D115:I115),$B115/$C115)</f>
        <v>0</v>
      </c>
      <c r="K115" s="87">
        <f>IF((SUM($D115:J115)+$B115/$C115)&gt;$B115,$B115-SUM($D115:J115),$B115/$C115)</f>
        <v>0</v>
      </c>
      <c r="L115" s="87">
        <f>IF((SUM($D115:K115)+$B115/$C115)&gt;$B115,$B115-SUM($D115:K115),$B115/$C115)</f>
        <v>0</v>
      </c>
      <c r="M115" s="87">
        <f>IF((SUM($D115:L115)+$B115/$C115)&gt;$B115,$B115-SUM($D115:L115),$B115/$C115)</f>
        <v>0</v>
      </c>
      <c r="N115" s="87">
        <f>IF((SUM($D115:M115)+$B115/$C115)&gt;$B115,$B115-SUM($D115:M115),$B115/$C115)</f>
        <v>0</v>
      </c>
      <c r="O115" s="87">
        <f>IF((SUM($D115:N115)+$B115/$C115)&gt;$B115,$B115-SUM($D115:N115),$B115/$C115)</f>
        <v>0</v>
      </c>
      <c r="P115" s="87">
        <f>IF((SUM($D115:O115)+$B115/$C115)&gt;$B115,$B115-SUM($D115:O115),$B115/$C115)</f>
        <v>0</v>
      </c>
      <c r="Q115" s="87">
        <f>IF((SUM($D115:P115)+$B115/$C115)&gt;$B115,$B115-SUM($D115:P115),$B115/$C115)</f>
        <v>0</v>
      </c>
      <c r="R115" s="87">
        <f>IF((SUM($D115:Q115)+$B115/$C115)&gt;$B115,$B115-SUM($D115:Q115),$B115/$C115)</f>
        <v>0</v>
      </c>
      <c r="S115" s="87">
        <f>IF((SUM($D115:R115)+$B115/$C115)&gt;$B115,$B115-SUM($D115:R115),$B115/$C115)</f>
        <v>0</v>
      </c>
      <c r="T115" s="87">
        <f>IF((SUM($D115:S115)+$B115/$C115)&gt;$B115,$B115-SUM($D115:S115),$B115/$C115)</f>
        <v>0</v>
      </c>
      <c r="U115" s="87">
        <f>IF((SUM($D115:T115)+$B115/$C115)&gt;$B115,$B115-SUM($D115:T115),$B115/$C115)</f>
        <v>0</v>
      </c>
      <c r="V115" s="87">
        <f>IF((SUM($D115:U115)+$B115/$C115)&gt;$B115,$B115-SUM($D115:U115),$B115/$C115)</f>
        <v>0</v>
      </c>
      <c r="W115" s="87">
        <f>IF((SUM($D115:V115)+$B115/$C115)&gt;$B115,$B115-SUM($D115:V115),$B115/$C115)</f>
        <v>0</v>
      </c>
      <c r="X115" s="87">
        <f>IF((SUM($D115:W115)+$B115/$C115)&gt;$B115,$B115-SUM($D115:W115),$B115/$C115)</f>
        <v>0</v>
      </c>
      <c r="Y115" s="87">
        <f>IF((SUM($D115:X115)+$B115/$C115)&gt;$B115,$B115-SUM($D115:X115),$B115/$C115)</f>
        <v>0</v>
      </c>
      <c r="Z115" s="87">
        <f>IF((SUM($D115:Y115)+$B115/$C115)&gt;$B115,$B115-SUM($D115:Y115),$B115/$C115)</f>
        <v>0</v>
      </c>
      <c r="AA115" s="87">
        <f>IF((SUM($D115:Z115)+$B115/$C115)&gt;$B115,$B115-SUM($D115:Z115),$B115/$C115)</f>
        <v>0</v>
      </c>
    </row>
    <row r="116" spans="1:27" outlineLevel="1" x14ac:dyDescent="0.25">
      <c r="B116" s="472">
        <f>SUM(B113:B115)</f>
        <v>199.3930604228442</v>
      </c>
      <c r="D116" s="109">
        <f>SUM(D113:D115)</f>
        <v>70.417382741449657</v>
      </c>
      <c r="E116" s="109">
        <f t="shared" ref="E116:W116" si="42">SUM(E113:E115)</f>
        <v>70.417382741449657</v>
      </c>
      <c r="F116" s="109">
        <f t="shared" si="42"/>
        <v>46.883493155334847</v>
      </c>
      <c r="G116" s="109">
        <f t="shared" si="42"/>
        <v>11.674801784610025</v>
      </c>
      <c r="H116" s="109">
        <f t="shared" si="42"/>
        <v>0</v>
      </c>
      <c r="I116" s="109">
        <f t="shared" si="42"/>
        <v>0</v>
      </c>
      <c r="J116" s="109">
        <f t="shared" si="42"/>
        <v>0</v>
      </c>
      <c r="K116" s="109">
        <f t="shared" si="42"/>
        <v>0</v>
      </c>
      <c r="L116" s="109">
        <f t="shared" si="42"/>
        <v>0</v>
      </c>
      <c r="M116" s="109">
        <f t="shared" si="42"/>
        <v>0</v>
      </c>
      <c r="N116" s="109">
        <f t="shared" si="42"/>
        <v>0</v>
      </c>
      <c r="O116" s="109">
        <f t="shared" si="42"/>
        <v>0</v>
      </c>
      <c r="P116" s="109">
        <f t="shared" si="42"/>
        <v>0</v>
      </c>
      <c r="Q116" s="109">
        <f t="shared" si="42"/>
        <v>0</v>
      </c>
      <c r="R116" s="109">
        <f t="shared" si="42"/>
        <v>0</v>
      </c>
      <c r="S116" s="109">
        <f t="shared" si="42"/>
        <v>0</v>
      </c>
      <c r="T116" s="109">
        <f t="shared" si="42"/>
        <v>0</v>
      </c>
      <c r="U116" s="109">
        <f t="shared" si="42"/>
        <v>0</v>
      </c>
      <c r="V116" s="109">
        <f t="shared" si="42"/>
        <v>0</v>
      </c>
      <c r="W116" s="109">
        <f t="shared" si="42"/>
        <v>0</v>
      </c>
      <c r="X116" s="109">
        <f>SUM(X113:X115)</f>
        <v>0</v>
      </c>
      <c r="Y116" s="109">
        <f>SUM(Y113:Y115)</f>
        <v>0</v>
      </c>
      <c r="Z116" s="109">
        <f>SUM(Z113:Z115)</f>
        <v>0</v>
      </c>
      <c r="AA116" s="109">
        <f>SUM(AA113:AA115)</f>
        <v>0</v>
      </c>
    </row>
    <row r="117" spans="1:27" outlineLevel="1" x14ac:dyDescent="0.25">
      <c r="B117" s="478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</row>
    <row r="118" spans="1:27" outlineLevel="1" x14ac:dyDescent="0.25"/>
    <row r="119" spans="1:27" ht="13.8" outlineLevel="1" thickBot="1" x14ac:dyDescent="0.3">
      <c r="A119" s="476" t="s">
        <v>45</v>
      </c>
      <c r="B119" s="477">
        <f>SUM(B92,B100,B108,B116)</f>
        <v>21038.921386264967</v>
      </c>
      <c r="C119" s="476"/>
      <c r="D119" s="477">
        <f t="shared" ref="D119:W119" si="43">SUM(D92,D100,D108,D116)</f>
        <v>4484.3348786405513</v>
      </c>
      <c r="E119" s="477">
        <f t="shared" si="43"/>
        <v>4484.3348786405513</v>
      </c>
      <c r="F119" s="477">
        <f t="shared" si="43"/>
        <v>4220.9139364509656</v>
      </c>
      <c r="G119" s="477">
        <f t="shared" si="43"/>
        <v>3939.3315848980924</v>
      </c>
      <c r="H119" s="477">
        <f t="shared" si="43"/>
        <v>3910.0061076348061</v>
      </c>
      <c r="I119" s="477">
        <f t="shared" si="43"/>
        <v>0</v>
      </c>
      <c r="J119" s="477">
        <f t="shared" si="43"/>
        <v>0</v>
      </c>
      <c r="K119" s="477">
        <f t="shared" si="43"/>
        <v>0</v>
      </c>
      <c r="L119" s="477">
        <f t="shared" si="43"/>
        <v>0</v>
      </c>
      <c r="M119" s="477">
        <f t="shared" si="43"/>
        <v>0</v>
      </c>
      <c r="N119" s="477">
        <f t="shared" si="43"/>
        <v>0</v>
      </c>
      <c r="O119" s="477">
        <f t="shared" si="43"/>
        <v>0</v>
      </c>
      <c r="P119" s="477">
        <f t="shared" si="43"/>
        <v>0</v>
      </c>
      <c r="Q119" s="477">
        <f t="shared" si="43"/>
        <v>0</v>
      </c>
      <c r="R119" s="477">
        <f t="shared" si="43"/>
        <v>0</v>
      </c>
      <c r="S119" s="477">
        <f t="shared" si="43"/>
        <v>0</v>
      </c>
      <c r="T119" s="477">
        <f t="shared" si="43"/>
        <v>0</v>
      </c>
      <c r="U119" s="477">
        <f t="shared" si="43"/>
        <v>0</v>
      </c>
      <c r="V119" s="477">
        <f t="shared" si="43"/>
        <v>0</v>
      </c>
      <c r="W119" s="477">
        <f t="shared" si="43"/>
        <v>0</v>
      </c>
      <c r="X119" s="477">
        <f>SUM(X92,X100,X108,X116)</f>
        <v>0</v>
      </c>
      <c r="Y119" s="477">
        <f>SUM(Y92,Y100,Y108,Y116)</f>
        <v>0</v>
      </c>
      <c r="Z119" s="477">
        <f>SUM(Z92,Z100,Z108,Z116)</f>
        <v>0</v>
      </c>
      <c r="AA119" s="477">
        <f>SUM(AA92,AA100,AA108,AA116)</f>
        <v>0</v>
      </c>
    </row>
    <row r="120" spans="1:27" ht="13.8" outlineLevel="1" thickTop="1" x14ac:dyDescent="0.25"/>
    <row r="121" spans="1:27" outlineLevel="1" x14ac:dyDescent="0.25"/>
    <row r="123" spans="1:27" x14ac:dyDescent="0.25">
      <c r="A123" s="464" t="s">
        <v>329</v>
      </c>
      <c r="B123" s="464"/>
      <c r="C123" s="464"/>
      <c r="J123" s="466"/>
    </row>
    <row r="124" spans="1:27" x14ac:dyDescent="0.25">
      <c r="A124" s="346" t="str">
        <f>$A$4</f>
        <v>($000 Real 2008)</v>
      </c>
      <c r="B124" s="464"/>
      <c r="C124" s="464"/>
      <c r="J124" s="466"/>
    </row>
    <row r="125" spans="1:27" x14ac:dyDescent="0.25">
      <c r="A125" s="101" t="s">
        <v>324</v>
      </c>
      <c r="D125" s="468">
        <f>D$4</f>
        <v>2009</v>
      </c>
      <c r="E125" s="468">
        <f t="shared" ref="E125:AA125" si="44">E$4</f>
        <v>2010</v>
      </c>
      <c r="F125" s="468">
        <f t="shared" si="44"/>
        <v>2011</v>
      </c>
      <c r="G125" s="468">
        <f t="shared" si="44"/>
        <v>2012</v>
      </c>
      <c r="H125" s="468">
        <f t="shared" si="44"/>
        <v>2013</v>
      </c>
      <c r="I125" s="468">
        <f t="shared" si="44"/>
        <v>2014</v>
      </c>
      <c r="J125" s="468">
        <f t="shared" si="44"/>
        <v>2015</v>
      </c>
      <c r="K125" s="468">
        <f t="shared" si="44"/>
        <v>2016</v>
      </c>
      <c r="L125" s="468">
        <f t="shared" si="44"/>
        <v>2017</v>
      </c>
      <c r="M125" s="468">
        <f t="shared" si="44"/>
        <v>2018</v>
      </c>
      <c r="N125" s="468">
        <f t="shared" si="44"/>
        <v>2019</v>
      </c>
      <c r="O125" s="468">
        <f t="shared" si="44"/>
        <v>2020</v>
      </c>
      <c r="P125" s="468">
        <f t="shared" si="44"/>
        <v>2021</v>
      </c>
      <c r="Q125" s="468">
        <f t="shared" si="44"/>
        <v>2022</v>
      </c>
      <c r="R125" s="468">
        <f t="shared" si="44"/>
        <v>2023</v>
      </c>
      <c r="S125" s="468">
        <f t="shared" si="44"/>
        <v>2024</v>
      </c>
      <c r="T125" s="468">
        <f t="shared" si="44"/>
        <v>2025</v>
      </c>
      <c r="U125" s="468">
        <f t="shared" si="44"/>
        <v>2026</v>
      </c>
      <c r="V125" s="468">
        <f t="shared" si="44"/>
        <v>2027</v>
      </c>
      <c r="W125" s="468">
        <f t="shared" si="44"/>
        <v>2028</v>
      </c>
      <c r="X125" s="468">
        <f t="shared" si="44"/>
        <v>2029</v>
      </c>
      <c r="Y125" s="468">
        <f t="shared" si="44"/>
        <v>2030</v>
      </c>
      <c r="Z125" s="468">
        <f t="shared" si="44"/>
        <v>2031</v>
      </c>
      <c r="AA125" s="468">
        <f t="shared" si="44"/>
        <v>2032</v>
      </c>
    </row>
    <row r="126" spans="1:27" x14ac:dyDescent="0.25">
      <c r="A126" s="73" t="s">
        <v>171</v>
      </c>
      <c r="D126" s="87">
        <f>B163</f>
        <v>14519.687604244689</v>
      </c>
      <c r="E126" s="87">
        <f>D128</f>
        <v>12168.5555365694</v>
      </c>
      <c r="F126" s="87">
        <f t="shared" ref="F126:W126" si="45">E128</f>
        <v>9817.4234688941106</v>
      </c>
      <c r="G126" s="87">
        <f t="shared" si="45"/>
        <v>7466.2914012188212</v>
      </c>
      <c r="H126" s="87">
        <f t="shared" si="45"/>
        <v>5115.1593335435318</v>
      </c>
      <c r="I126" s="87">
        <f t="shared" si="45"/>
        <v>2764.0272658682425</v>
      </c>
      <c r="J126" s="87">
        <f t="shared" si="45"/>
        <v>794.23061601529957</v>
      </c>
      <c r="K126" s="87">
        <f t="shared" si="45"/>
        <v>1.1368683772161603E-12</v>
      </c>
      <c r="L126" s="87">
        <f t="shared" si="45"/>
        <v>1.1368683772161603E-12</v>
      </c>
      <c r="M126" s="87">
        <f t="shared" si="45"/>
        <v>1.1368683772161603E-12</v>
      </c>
      <c r="N126" s="87">
        <f t="shared" si="45"/>
        <v>1.1368683772161603E-12</v>
      </c>
      <c r="O126" s="87">
        <f t="shared" si="45"/>
        <v>1.1368683772161603E-12</v>
      </c>
      <c r="P126" s="87">
        <f t="shared" si="45"/>
        <v>1.1368683772161603E-12</v>
      </c>
      <c r="Q126" s="87">
        <f t="shared" si="45"/>
        <v>1.1368683772161603E-12</v>
      </c>
      <c r="R126" s="87">
        <f t="shared" si="45"/>
        <v>1.1368683772161603E-12</v>
      </c>
      <c r="S126" s="87">
        <f t="shared" si="45"/>
        <v>1.1368683772161603E-12</v>
      </c>
      <c r="T126" s="87">
        <f t="shared" si="45"/>
        <v>1.1368683772161603E-12</v>
      </c>
      <c r="U126" s="87">
        <f t="shared" si="45"/>
        <v>1.1368683772161603E-12</v>
      </c>
      <c r="V126" s="87">
        <f t="shared" si="45"/>
        <v>1.1368683772161603E-12</v>
      </c>
      <c r="W126" s="87">
        <f t="shared" si="45"/>
        <v>1.1368683772161603E-12</v>
      </c>
      <c r="X126" s="87">
        <f>W128</f>
        <v>1.1368683772161603E-12</v>
      </c>
      <c r="Y126" s="87">
        <f>X128</f>
        <v>1.1368683772161603E-12</v>
      </c>
      <c r="Z126" s="87">
        <f>Y128</f>
        <v>1.1368683772161603E-12</v>
      </c>
      <c r="AA126" s="87">
        <f>Z128</f>
        <v>1.1368683772161603E-12</v>
      </c>
    </row>
    <row r="127" spans="1:27" x14ac:dyDescent="0.25">
      <c r="A127" s="84" t="s">
        <v>137</v>
      </c>
      <c r="D127" s="87">
        <f>D163</f>
        <v>2351.1320676752894</v>
      </c>
      <c r="E127" s="87">
        <f t="shared" ref="E127:W127" si="46">E163</f>
        <v>2351.1320676752894</v>
      </c>
      <c r="F127" s="87">
        <f t="shared" si="46"/>
        <v>2351.1320676752894</v>
      </c>
      <c r="G127" s="87">
        <f t="shared" si="46"/>
        <v>2351.1320676752894</v>
      </c>
      <c r="H127" s="87">
        <f t="shared" si="46"/>
        <v>2351.1320676752894</v>
      </c>
      <c r="I127" s="87">
        <f t="shared" si="46"/>
        <v>1969.7966498529429</v>
      </c>
      <c r="J127" s="87">
        <f t="shared" si="46"/>
        <v>794.23061601529844</v>
      </c>
      <c r="K127" s="87">
        <f t="shared" si="46"/>
        <v>0</v>
      </c>
      <c r="L127" s="87">
        <f t="shared" si="46"/>
        <v>0</v>
      </c>
      <c r="M127" s="87">
        <f t="shared" si="46"/>
        <v>0</v>
      </c>
      <c r="N127" s="87">
        <f t="shared" si="46"/>
        <v>0</v>
      </c>
      <c r="O127" s="87">
        <f t="shared" si="46"/>
        <v>0</v>
      </c>
      <c r="P127" s="87">
        <f t="shared" si="46"/>
        <v>0</v>
      </c>
      <c r="Q127" s="87">
        <f t="shared" si="46"/>
        <v>0</v>
      </c>
      <c r="R127" s="87">
        <f t="shared" si="46"/>
        <v>0</v>
      </c>
      <c r="S127" s="87">
        <f t="shared" si="46"/>
        <v>0</v>
      </c>
      <c r="T127" s="87">
        <f t="shared" si="46"/>
        <v>0</v>
      </c>
      <c r="U127" s="87">
        <f t="shared" si="46"/>
        <v>0</v>
      </c>
      <c r="V127" s="87">
        <f t="shared" si="46"/>
        <v>0</v>
      </c>
      <c r="W127" s="87">
        <f t="shared" si="46"/>
        <v>0</v>
      </c>
      <c r="X127" s="87">
        <f>X163</f>
        <v>0</v>
      </c>
      <c r="Y127" s="87">
        <f>Y163</f>
        <v>0</v>
      </c>
      <c r="Z127" s="87">
        <f>Z163</f>
        <v>0</v>
      </c>
      <c r="AA127" s="87">
        <f>AA163</f>
        <v>0</v>
      </c>
    </row>
    <row r="128" spans="1:27" ht="13.8" thickBot="1" x14ac:dyDescent="0.3">
      <c r="A128" s="73" t="s">
        <v>173</v>
      </c>
      <c r="D128" s="76">
        <f>D126-D127</f>
        <v>12168.5555365694</v>
      </c>
      <c r="E128" s="76">
        <f t="shared" ref="E128:W128" si="47">E126-E127</f>
        <v>9817.4234688941106</v>
      </c>
      <c r="F128" s="76">
        <f t="shared" si="47"/>
        <v>7466.2914012188212</v>
      </c>
      <c r="G128" s="76">
        <f t="shared" si="47"/>
        <v>5115.1593335435318</v>
      </c>
      <c r="H128" s="76">
        <f t="shared" si="47"/>
        <v>2764.0272658682425</v>
      </c>
      <c r="I128" s="76">
        <f t="shared" si="47"/>
        <v>794.23061601529957</v>
      </c>
      <c r="J128" s="76">
        <f t="shared" si="47"/>
        <v>1.1368683772161603E-12</v>
      </c>
      <c r="K128" s="76">
        <f t="shared" si="47"/>
        <v>1.1368683772161603E-12</v>
      </c>
      <c r="L128" s="76">
        <f t="shared" si="47"/>
        <v>1.1368683772161603E-12</v>
      </c>
      <c r="M128" s="76">
        <f t="shared" si="47"/>
        <v>1.1368683772161603E-12</v>
      </c>
      <c r="N128" s="76">
        <f t="shared" si="47"/>
        <v>1.1368683772161603E-12</v>
      </c>
      <c r="O128" s="76">
        <f t="shared" si="47"/>
        <v>1.1368683772161603E-12</v>
      </c>
      <c r="P128" s="76">
        <f t="shared" si="47"/>
        <v>1.1368683772161603E-12</v>
      </c>
      <c r="Q128" s="76">
        <f t="shared" si="47"/>
        <v>1.1368683772161603E-12</v>
      </c>
      <c r="R128" s="76">
        <f t="shared" si="47"/>
        <v>1.1368683772161603E-12</v>
      </c>
      <c r="S128" s="76">
        <f t="shared" si="47"/>
        <v>1.1368683772161603E-12</v>
      </c>
      <c r="T128" s="76">
        <f t="shared" si="47"/>
        <v>1.1368683772161603E-12</v>
      </c>
      <c r="U128" s="76">
        <f t="shared" si="47"/>
        <v>1.1368683772161603E-12</v>
      </c>
      <c r="V128" s="76">
        <f t="shared" si="47"/>
        <v>1.1368683772161603E-12</v>
      </c>
      <c r="W128" s="76">
        <f t="shared" si="47"/>
        <v>1.1368683772161603E-12</v>
      </c>
      <c r="X128" s="76">
        <f>X126-X127</f>
        <v>1.1368683772161603E-12</v>
      </c>
      <c r="Y128" s="76">
        <f>Y126-Y127</f>
        <v>1.1368683772161603E-12</v>
      </c>
      <c r="Z128" s="76">
        <f>Z126-Z127</f>
        <v>1.1368683772161603E-12</v>
      </c>
      <c r="AA128" s="76">
        <f>AA126-AA127</f>
        <v>1.1368683772161603E-12</v>
      </c>
    </row>
    <row r="129" spans="1:27" s="101" customFormat="1" ht="13.8" outlineLevel="1" thickTop="1" x14ac:dyDescent="0.25">
      <c r="A129" s="556" t="s">
        <v>0</v>
      </c>
      <c r="B129" s="484"/>
      <c r="C129" s="557">
        <f>SUM(D129:E129)</f>
        <v>0</v>
      </c>
      <c r="D129" s="558">
        <f>IF(ABS(D126-SUM(D127:AA127))&lt;0.001,0,ABS(D126-SUM(D127:AA127)))</f>
        <v>0</v>
      </c>
      <c r="E129" s="558">
        <f>IF(ABS(D126-('Data 2006-08'!D88*'Data 2006-08'!D156*(1+'Data 2006-08'!C141)^2.5+'Data 2006-08'!E88*'Data 2006-08'!E156*(1+'Data 2006-08'!C141)^1.5+'Data 2006-08'!F88*(1+'Data 2006-08'!C141)^0.5)/10^3)&lt;0.001,0,ABS(D126-('Data 2006-08'!D88*'Data 2006-08'!D156*(1+'Data 2006-08'!C141)^2.5+'Data 2006-08'!E88*'Data 2006-08'!E156*(1+'Data 2006-08'!C141)^1.5+'Data 2006-08'!F88*(1+'Data 2006-08'!C141)^0.5)/10^3))</f>
        <v>0</v>
      </c>
      <c r="G129" s="60"/>
    </row>
    <row r="130" spans="1:27" outlineLevel="1" x14ac:dyDescent="0.25"/>
    <row r="131" spans="1:27" outlineLevel="1" x14ac:dyDescent="0.25">
      <c r="A131" s="346" t="str">
        <f>'Data 2009-15 (Real $2008)'!A$154</f>
        <v>Remotely read interval meters &amp; transformers</v>
      </c>
      <c r="B131" s="473" t="s">
        <v>320</v>
      </c>
      <c r="C131" s="308" t="s">
        <v>323</v>
      </c>
      <c r="D131" s="468">
        <f>D$4</f>
        <v>2009</v>
      </c>
      <c r="E131" s="468">
        <f t="shared" ref="E131:AA131" si="48">E$4</f>
        <v>2010</v>
      </c>
      <c r="F131" s="468">
        <f t="shared" si="48"/>
        <v>2011</v>
      </c>
      <c r="G131" s="468">
        <f t="shared" si="48"/>
        <v>2012</v>
      </c>
      <c r="H131" s="468">
        <f t="shared" si="48"/>
        <v>2013</v>
      </c>
      <c r="I131" s="468">
        <f t="shared" si="48"/>
        <v>2014</v>
      </c>
      <c r="J131" s="468">
        <f t="shared" si="48"/>
        <v>2015</v>
      </c>
      <c r="K131" s="468">
        <f t="shared" si="48"/>
        <v>2016</v>
      </c>
      <c r="L131" s="468">
        <f t="shared" si="48"/>
        <v>2017</v>
      </c>
      <c r="M131" s="468">
        <f t="shared" si="48"/>
        <v>2018</v>
      </c>
      <c r="N131" s="468">
        <f t="shared" si="48"/>
        <v>2019</v>
      </c>
      <c r="O131" s="468">
        <f t="shared" si="48"/>
        <v>2020</v>
      </c>
      <c r="P131" s="468">
        <f t="shared" si="48"/>
        <v>2021</v>
      </c>
      <c r="Q131" s="468">
        <f t="shared" si="48"/>
        <v>2022</v>
      </c>
      <c r="R131" s="468">
        <f t="shared" si="48"/>
        <v>2023</v>
      </c>
      <c r="S131" s="468">
        <f t="shared" si="48"/>
        <v>2024</v>
      </c>
      <c r="T131" s="468">
        <f t="shared" si="48"/>
        <v>2025</v>
      </c>
      <c r="U131" s="468">
        <f t="shared" si="48"/>
        <v>2026</v>
      </c>
      <c r="V131" s="468">
        <f t="shared" si="48"/>
        <v>2027</v>
      </c>
      <c r="W131" s="468">
        <f t="shared" si="48"/>
        <v>2028</v>
      </c>
      <c r="X131" s="468">
        <f t="shared" si="48"/>
        <v>2029</v>
      </c>
      <c r="Y131" s="468">
        <f t="shared" si="48"/>
        <v>2030</v>
      </c>
      <c r="Z131" s="468">
        <f t="shared" si="48"/>
        <v>2031</v>
      </c>
      <c r="AA131" s="468">
        <f t="shared" si="48"/>
        <v>2032</v>
      </c>
    </row>
    <row r="132" spans="1:27" outlineLevel="1" x14ac:dyDescent="0.25">
      <c r="A132" s="346" t="str">
        <f>$A$4</f>
        <v>($000 Real 2008)</v>
      </c>
      <c r="B132" s="474" t="s">
        <v>321</v>
      </c>
      <c r="C132" s="475" t="s">
        <v>322</v>
      </c>
      <c r="D132" s="460"/>
      <c r="E132" s="460"/>
      <c r="F132" s="460"/>
      <c r="G132" s="460"/>
      <c r="H132" s="460"/>
      <c r="I132" s="460"/>
      <c r="J132" s="460"/>
      <c r="K132" s="101"/>
      <c r="L132" s="101"/>
      <c r="M132" s="101"/>
      <c r="N132" s="101"/>
    </row>
    <row r="133" spans="1:27" outlineLevel="1" x14ac:dyDescent="0.25">
      <c r="A133" s="469">
        <v>2006</v>
      </c>
      <c r="B133" s="471">
        <f>'Data 2006-08'!D$84*'Data 2006-08'!D156/10^3*(1+'Data 2006-08'!C$141)^2.5</f>
        <v>0</v>
      </c>
      <c r="C133" s="470">
        <f>'Data 2009-15 (Real $2008)'!C$154-(D$131-A133-0.5)</f>
        <v>12.5</v>
      </c>
      <c r="D133" s="87">
        <f>IF(C133&lt;1,B133,B133/C133)</f>
        <v>0</v>
      </c>
      <c r="E133" s="87">
        <f>IF((SUM($D133:D133)+$B133/$C133)&gt;$B133,$B133-SUM($D133:D133),$B133/$C133)</f>
        <v>0</v>
      </c>
      <c r="F133" s="87">
        <f>IF((SUM($D133:E133)+$B133/$C133)&gt;$B133,$B133-SUM($D133:E133),$B133/$C133)</f>
        <v>0</v>
      </c>
      <c r="G133" s="87">
        <f>IF((SUM($D133:F133)+$B133/$C133)&gt;$B133,$B133-SUM($D133:F133),$B133/$C133)</f>
        <v>0</v>
      </c>
      <c r="H133" s="87">
        <f>IF((SUM($D133:G133)+$B133/$C133)&gt;$B133,$B133-SUM($D133:G133),$B133/$C133)</f>
        <v>0</v>
      </c>
      <c r="I133" s="87">
        <f>IF((SUM($D133:H133)+$B133/$C133)&gt;$B133,$B133-SUM($D133:H133),$B133/$C133)</f>
        <v>0</v>
      </c>
      <c r="J133" s="87">
        <f>IF((SUM($D133:I133)+$B133/$C133)&gt;$B133,$B133-SUM($D133:I133),$B133/$C133)</f>
        <v>0</v>
      </c>
      <c r="K133" s="87">
        <f>IF((SUM($D133:J133)+$B133/$C133)&gt;$B133,$B133-SUM($D133:J133),$B133/$C133)</f>
        <v>0</v>
      </c>
      <c r="L133" s="87">
        <f>IF((SUM($D133:K133)+$B133/$C133)&gt;$B133,$B133-SUM($D133:K133),$B133/$C133)</f>
        <v>0</v>
      </c>
      <c r="M133" s="87">
        <f>IF((SUM($D133:L133)+$B133/$C133)&gt;$B133,$B133-SUM($D133:L133),$B133/$C133)</f>
        <v>0</v>
      </c>
      <c r="N133" s="87">
        <f>IF((SUM($D133:M133)+$B133/$C133)&gt;$B133,$B133-SUM($D133:M133),$B133/$C133)</f>
        <v>0</v>
      </c>
      <c r="O133" s="87">
        <f>IF((SUM($D133:N133)+$B133/$C133)&gt;$B133,$B133-SUM($D133:N133),$B133/$C133)</f>
        <v>0</v>
      </c>
      <c r="P133" s="87">
        <f>IF((SUM($D133:O133)+$B133/$C133)&gt;$B133,$B133-SUM($D133:O133),$B133/$C133)</f>
        <v>0</v>
      </c>
      <c r="Q133" s="87">
        <f>IF((SUM($D133:P133)+$B133/$C133)&gt;$B133,$B133-SUM($D133:P133),$B133/$C133)</f>
        <v>0</v>
      </c>
      <c r="R133" s="87">
        <f>IF((SUM($D133:Q133)+$B133/$C133)&gt;$B133,$B133-SUM($D133:Q133),$B133/$C133)</f>
        <v>0</v>
      </c>
      <c r="S133" s="87">
        <f>IF((SUM($D133:R133)+$B133/$C133)&gt;$B133,$B133-SUM($D133:R133),$B133/$C133)</f>
        <v>0</v>
      </c>
      <c r="T133" s="87">
        <f>IF((SUM($D133:S133)+$B133/$C133)&gt;$B133,$B133-SUM($D133:S133),$B133/$C133)</f>
        <v>0</v>
      </c>
      <c r="U133" s="87">
        <f>IF((SUM($D133:T133)+$B133/$C133)&gt;$B133,$B133-SUM($D133:T133),$B133/$C133)</f>
        <v>0</v>
      </c>
      <c r="V133" s="87">
        <f>IF((SUM($D133:U133)+$B133/$C133)&gt;$B133,$B133-SUM($D133:U133),$B133/$C133)</f>
        <v>0</v>
      </c>
      <c r="W133" s="87">
        <f>IF((SUM($D133:V133)+$B133/$C133)&gt;$B133,$B133-SUM($D133:V133),$B133/$C133)</f>
        <v>0</v>
      </c>
      <c r="X133" s="87">
        <f>IF((SUM($D133:W133)+$B133/$C133)&gt;$B133,$B133-SUM($D133:W133),$B133/$C133)</f>
        <v>0</v>
      </c>
      <c r="Y133" s="87">
        <f>IF((SUM($D133:X133)+$B133/$C133)&gt;$B133,$B133-SUM($D133:X133),$B133/$C133)</f>
        <v>0</v>
      </c>
      <c r="Z133" s="87">
        <f>IF((SUM($D133:Y133)+$B133/$C133)&gt;$B133,$B133-SUM($D133:Y133),$B133/$C133)</f>
        <v>0</v>
      </c>
      <c r="AA133" s="87">
        <f>IF((SUM($D133:Z133)+$B133/$C133)&gt;$B133,$B133-SUM($D133:Z133),$B133/$C133)</f>
        <v>0</v>
      </c>
    </row>
    <row r="134" spans="1:27" outlineLevel="1" x14ac:dyDescent="0.25">
      <c r="A134" s="469">
        <v>2007</v>
      </c>
      <c r="B134" s="471">
        <f>'Data 2006-08'!E$84*'Data 2006-08'!E156/10^3*(1+'Data 2006-08'!C$141)^1.5</f>
        <v>0</v>
      </c>
      <c r="C134" s="470">
        <f>'Data 2009-15 (Real $2008)'!C$154-(D$131-A134-0.5)</f>
        <v>13.5</v>
      </c>
      <c r="D134" s="87">
        <f>IF(C134&lt;1,B134,B134/C134)</f>
        <v>0</v>
      </c>
      <c r="E134" s="87">
        <f>IF((SUM($D134:D134)+$B134/$C134)&gt;$B134,$B134-SUM($D134:D134),$B134/$C134)</f>
        <v>0</v>
      </c>
      <c r="F134" s="87">
        <f>IF((SUM($D134:E134)+$B134/$C134)&gt;$B134,$B134-SUM($D134:E134),$B134/$C134)</f>
        <v>0</v>
      </c>
      <c r="G134" s="87">
        <f>IF((SUM($D134:F134)+$B134/$C134)&gt;$B134,$B134-SUM($D134:F134),$B134/$C134)</f>
        <v>0</v>
      </c>
      <c r="H134" s="87">
        <f>IF((SUM($D134:G134)+$B134/$C134)&gt;$B134,$B134-SUM($D134:G134),$B134/$C134)</f>
        <v>0</v>
      </c>
      <c r="I134" s="87">
        <f>IF((SUM($D134:H134)+$B134/$C134)&gt;$B134,$B134-SUM($D134:H134),$B134/$C134)</f>
        <v>0</v>
      </c>
      <c r="J134" s="87">
        <f>IF((SUM($D134:I134)+$B134/$C134)&gt;$B134,$B134-SUM($D134:I134),$B134/$C134)</f>
        <v>0</v>
      </c>
      <c r="K134" s="87">
        <f>IF((SUM($D134:J134)+$B134/$C134)&gt;$B134,$B134-SUM($D134:J134),$B134/$C134)</f>
        <v>0</v>
      </c>
      <c r="L134" s="87">
        <f>IF((SUM($D134:K134)+$B134/$C134)&gt;$B134,$B134-SUM($D134:K134),$B134/$C134)</f>
        <v>0</v>
      </c>
      <c r="M134" s="87">
        <f>IF((SUM($D134:L134)+$B134/$C134)&gt;$B134,$B134-SUM($D134:L134),$B134/$C134)</f>
        <v>0</v>
      </c>
      <c r="N134" s="87">
        <f>IF((SUM($D134:M134)+$B134/$C134)&gt;$B134,$B134-SUM($D134:M134),$B134/$C134)</f>
        <v>0</v>
      </c>
      <c r="O134" s="87">
        <f>IF((SUM($D134:N134)+$B134/$C134)&gt;$B134,$B134-SUM($D134:N134),$B134/$C134)</f>
        <v>0</v>
      </c>
      <c r="P134" s="87">
        <f>IF((SUM($D134:O134)+$B134/$C134)&gt;$B134,$B134-SUM($D134:O134),$B134/$C134)</f>
        <v>0</v>
      </c>
      <c r="Q134" s="87">
        <f>IF((SUM($D134:P134)+$B134/$C134)&gt;$B134,$B134-SUM($D134:P134),$B134/$C134)</f>
        <v>0</v>
      </c>
      <c r="R134" s="87">
        <f>IF((SUM($D134:Q134)+$B134/$C134)&gt;$B134,$B134-SUM($D134:Q134),$B134/$C134)</f>
        <v>0</v>
      </c>
      <c r="S134" s="87">
        <f>IF((SUM($D134:R134)+$B134/$C134)&gt;$B134,$B134-SUM($D134:R134),$B134/$C134)</f>
        <v>0</v>
      </c>
      <c r="T134" s="87">
        <f>IF((SUM($D134:S134)+$B134/$C134)&gt;$B134,$B134-SUM($D134:S134),$B134/$C134)</f>
        <v>0</v>
      </c>
      <c r="U134" s="87">
        <f>IF((SUM($D134:T134)+$B134/$C134)&gt;$B134,$B134-SUM($D134:T134),$B134/$C134)</f>
        <v>0</v>
      </c>
      <c r="V134" s="87">
        <f>IF((SUM($D134:U134)+$B134/$C134)&gt;$B134,$B134-SUM($D134:U134),$B134/$C134)</f>
        <v>0</v>
      </c>
      <c r="W134" s="87">
        <f>IF((SUM($D134:V134)+$B134/$C134)&gt;$B134,$B134-SUM($D134:V134),$B134/$C134)</f>
        <v>0</v>
      </c>
      <c r="X134" s="87">
        <f>IF((SUM($D134:W134)+$B134/$C134)&gt;$B134,$B134-SUM($D134:W134),$B134/$C134)</f>
        <v>0</v>
      </c>
      <c r="Y134" s="87">
        <f>IF((SUM($D134:X134)+$B134/$C134)&gt;$B134,$B134-SUM($D134:X134),$B134/$C134)</f>
        <v>0</v>
      </c>
      <c r="Z134" s="87">
        <f>IF((SUM($D134:Y134)+$B134/$C134)&gt;$B134,$B134-SUM($D134:Y134),$B134/$C134)</f>
        <v>0</v>
      </c>
      <c r="AA134" s="87">
        <f>IF((SUM($D134:Z134)+$B134/$C134)&gt;$B134,$B134-SUM($D134:Z134),$B134/$C134)</f>
        <v>0</v>
      </c>
    </row>
    <row r="135" spans="1:27" outlineLevel="1" x14ac:dyDescent="0.25">
      <c r="A135" s="469">
        <v>2008</v>
      </c>
      <c r="B135" s="471">
        <f>'Data 2006-08'!F$84/10^3*(1+'Data 2006-08'!C$141)^0.5</f>
        <v>0</v>
      </c>
      <c r="C135" s="470">
        <f>'Data 2009-15 (Real $2008)'!C$154-(D$131-A135-0.5)</f>
        <v>14.5</v>
      </c>
      <c r="D135" s="87">
        <f>IF(C135&lt;1,B135,B135/C135)</f>
        <v>0</v>
      </c>
      <c r="E135" s="87">
        <f>IF((SUM($D135:D135)+$B135/$C135)&gt;$B135,$B135-SUM($D135:D135),$B135/$C135)</f>
        <v>0</v>
      </c>
      <c r="F135" s="87">
        <f>IF((SUM($D135:E135)+$B135/$C135)&gt;$B135,$B135-SUM($D135:E135),$B135/$C135)</f>
        <v>0</v>
      </c>
      <c r="G135" s="87">
        <f>IF((SUM($D135:F135)+$B135/$C135)&gt;$B135,$B135-SUM($D135:F135),$B135/$C135)</f>
        <v>0</v>
      </c>
      <c r="H135" s="87">
        <f>IF((SUM($D135:G135)+$B135/$C135)&gt;$B135,$B135-SUM($D135:G135),$B135/$C135)</f>
        <v>0</v>
      </c>
      <c r="I135" s="87">
        <f>IF((SUM($D135:H135)+$B135/$C135)&gt;$B135,$B135-SUM($D135:H135),$B135/$C135)</f>
        <v>0</v>
      </c>
      <c r="J135" s="87">
        <f>IF((SUM($D135:I135)+$B135/$C135)&gt;$B135,$B135-SUM($D135:I135),$B135/$C135)</f>
        <v>0</v>
      </c>
      <c r="K135" s="87">
        <f>IF((SUM($D135:J135)+$B135/$C135)&gt;$B135,$B135-SUM($D135:J135),$B135/$C135)</f>
        <v>0</v>
      </c>
      <c r="L135" s="87">
        <f>IF((SUM($D135:K135)+$B135/$C135)&gt;$B135,$B135-SUM($D135:K135),$B135/$C135)</f>
        <v>0</v>
      </c>
      <c r="M135" s="87">
        <f>IF((SUM($D135:L135)+$B135/$C135)&gt;$B135,$B135-SUM($D135:L135),$B135/$C135)</f>
        <v>0</v>
      </c>
      <c r="N135" s="87">
        <f>IF((SUM($D135:M135)+$B135/$C135)&gt;$B135,$B135-SUM($D135:M135),$B135/$C135)</f>
        <v>0</v>
      </c>
      <c r="O135" s="87">
        <f>IF((SUM($D135:N135)+$B135/$C135)&gt;$B135,$B135-SUM($D135:N135),$B135/$C135)</f>
        <v>0</v>
      </c>
      <c r="P135" s="87">
        <f>IF((SUM($D135:O135)+$B135/$C135)&gt;$B135,$B135-SUM($D135:O135),$B135/$C135)</f>
        <v>0</v>
      </c>
      <c r="Q135" s="87">
        <f>IF((SUM($D135:P135)+$B135/$C135)&gt;$B135,$B135-SUM($D135:P135),$B135/$C135)</f>
        <v>0</v>
      </c>
      <c r="R135" s="87">
        <f>IF((SUM($D135:Q135)+$B135/$C135)&gt;$B135,$B135-SUM($D135:Q135),$B135/$C135)</f>
        <v>0</v>
      </c>
      <c r="S135" s="87">
        <f>IF((SUM($D135:R135)+$B135/$C135)&gt;$B135,$B135-SUM($D135:R135),$B135/$C135)</f>
        <v>0</v>
      </c>
      <c r="T135" s="87">
        <f>IF((SUM($D135:S135)+$B135/$C135)&gt;$B135,$B135-SUM($D135:S135),$B135/$C135)</f>
        <v>0</v>
      </c>
      <c r="U135" s="87">
        <f>IF((SUM($D135:T135)+$B135/$C135)&gt;$B135,$B135-SUM($D135:T135),$B135/$C135)</f>
        <v>0</v>
      </c>
      <c r="V135" s="87">
        <f>IF((SUM($D135:U135)+$B135/$C135)&gt;$B135,$B135-SUM($D135:U135),$B135/$C135)</f>
        <v>0</v>
      </c>
      <c r="W135" s="87">
        <f>IF((SUM($D135:V135)+$B135/$C135)&gt;$B135,$B135-SUM($D135:V135),$B135/$C135)</f>
        <v>0</v>
      </c>
      <c r="X135" s="87">
        <f>IF((SUM($D135:W135)+$B135/$C135)&gt;$B135,$B135-SUM($D135:W135),$B135/$C135)</f>
        <v>0</v>
      </c>
      <c r="Y135" s="87">
        <f>IF((SUM($D135:X135)+$B135/$C135)&gt;$B135,$B135-SUM($D135:X135),$B135/$C135)</f>
        <v>0</v>
      </c>
      <c r="Z135" s="87">
        <f>IF((SUM($D135:Y135)+$B135/$C135)&gt;$B135,$B135-SUM($D135:Y135),$B135/$C135)</f>
        <v>0</v>
      </c>
      <c r="AA135" s="87">
        <f>IF((SUM($D135:Z135)+$B135/$C135)&gt;$B135,$B135-SUM($D135:Z135),$B135/$C135)</f>
        <v>0</v>
      </c>
    </row>
    <row r="136" spans="1:27" outlineLevel="1" x14ac:dyDescent="0.25">
      <c r="A136" s="356"/>
      <c r="B136" s="472">
        <f>SUM(B133:B135)</f>
        <v>0</v>
      </c>
      <c r="D136" s="109">
        <f>SUM(D133:D135)</f>
        <v>0</v>
      </c>
      <c r="E136" s="109">
        <f t="shared" ref="E136:W136" si="49">SUM(E133:E135)</f>
        <v>0</v>
      </c>
      <c r="F136" s="109">
        <f t="shared" si="49"/>
        <v>0</v>
      </c>
      <c r="G136" s="109">
        <f t="shared" si="49"/>
        <v>0</v>
      </c>
      <c r="H136" s="109">
        <f t="shared" si="49"/>
        <v>0</v>
      </c>
      <c r="I136" s="109">
        <f t="shared" si="49"/>
        <v>0</v>
      </c>
      <c r="J136" s="109">
        <f t="shared" si="49"/>
        <v>0</v>
      </c>
      <c r="K136" s="109">
        <f t="shared" si="49"/>
        <v>0</v>
      </c>
      <c r="L136" s="109">
        <f t="shared" si="49"/>
        <v>0</v>
      </c>
      <c r="M136" s="109">
        <f t="shared" si="49"/>
        <v>0</v>
      </c>
      <c r="N136" s="109">
        <f t="shared" si="49"/>
        <v>0</v>
      </c>
      <c r="O136" s="109">
        <f t="shared" si="49"/>
        <v>0</v>
      </c>
      <c r="P136" s="109">
        <f t="shared" si="49"/>
        <v>0</v>
      </c>
      <c r="Q136" s="109">
        <f t="shared" si="49"/>
        <v>0</v>
      </c>
      <c r="R136" s="109">
        <f t="shared" si="49"/>
        <v>0</v>
      </c>
      <c r="S136" s="109">
        <f t="shared" si="49"/>
        <v>0</v>
      </c>
      <c r="T136" s="109">
        <f t="shared" si="49"/>
        <v>0</v>
      </c>
      <c r="U136" s="109">
        <f t="shared" si="49"/>
        <v>0</v>
      </c>
      <c r="V136" s="109">
        <f t="shared" si="49"/>
        <v>0</v>
      </c>
      <c r="W136" s="109">
        <f t="shared" si="49"/>
        <v>0</v>
      </c>
      <c r="X136" s="109">
        <f>SUM(X133:X135)</f>
        <v>0</v>
      </c>
      <c r="Y136" s="109">
        <f>SUM(Y133:Y135)</f>
        <v>0</v>
      </c>
      <c r="Z136" s="109">
        <f>SUM(Z133:Z135)</f>
        <v>0</v>
      </c>
      <c r="AA136" s="109">
        <f>SUM(AA133:AA135)</f>
        <v>0</v>
      </c>
    </row>
    <row r="137" spans="1:27" outlineLevel="1" x14ac:dyDescent="0.25"/>
    <row r="138" spans="1:27" outlineLevel="1" x14ac:dyDescent="0.25"/>
    <row r="139" spans="1:27" outlineLevel="1" x14ac:dyDescent="0.25">
      <c r="A139" s="346" t="s">
        <v>277</v>
      </c>
      <c r="B139" s="473" t="s">
        <v>320</v>
      </c>
      <c r="C139" s="308" t="s">
        <v>323</v>
      </c>
      <c r="D139" s="468">
        <f>D$4</f>
        <v>2009</v>
      </c>
      <c r="E139" s="468">
        <f t="shared" ref="E139:AA139" si="50">E$4</f>
        <v>2010</v>
      </c>
      <c r="F139" s="468">
        <f t="shared" si="50"/>
        <v>2011</v>
      </c>
      <c r="G139" s="468">
        <f t="shared" si="50"/>
        <v>2012</v>
      </c>
      <c r="H139" s="468">
        <f t="shared" si="50"/>
        <v>2013</v>
      </c>
      <c r="I139" s="468">
        <f t="shared" si="50"/>
        <v>2014</v>
      </c>
      <c r="J139" s="468">
        <f t="shared" si="50"/>
        <v>2015</v>
      </c>
      <c r="K139" s="468">
        <f t="shared" si="50"/>
        <v>2016</v>
      </c>
      <c r="L139" s="468">
        <f t="shared" si="50"/>
        <v>2017</v>
      </c>
      <c r="M139" s="468">
        <f t="shared" si="50"/>
        <v>2018</v>
      </c>
      <c r="N139" s="468">
        <f t="shared" si="50"/>
        <v>2019</v>
      </c>
      <c r="O139" s="468">
        <f t="shared" si="50"/>
        <v>2020</v>
      </c>
      <c r="P139" s="468">
        <f t="shared" si="50"/>
        <v>2021</v>
      </c>
      <c r="Q139" s="468">
        <f t="shared" si="50"/>
        <v>2022</v>
      </c>
      <c r="R139" s="468">
        <f t="shared" si="50"/>
        <v>2023</v>
      </c>
      <c r="S139" s="468">
        <f t="shared" si="50"/>
        <v>2024</v>
      </c>
      <c r="T139" s="468">
        <f t="shared" si="50"/>
        <v>2025</v>
      </c>
      <c r="U139" s="468">
        <f t="shared" si="50"/>
        <v>2026</v>
      </c>
      <c r="V139" s="468">
        <f t="shared" si="50"/>
        <v>2027</v>
      </c>
      <c r="W139" s="468">
        <f t="shared" si="50"/>
        <v>2028</v>
      </c>
      <c r="X139" s="468">
        <f t="shared" si="50"/>
        <v>2029</v>
      </c>
      <c r="Y139" s="468">
        <f t="shared" si="50"/>
        <v>2030</v>
      </c>
      <c r="Z139" s="468">
        <f t="shared" si="50"/>
        <v>2031</v>
      </c>
      <c r="AA139" s="468">
        <f t="shared" si="50"/>
        <v>2032</v>
      </c>
    </row>
    <row r="140" spans="1:27" outlineLevel="1" x14ac:dyDescent="0.25">
      <c r="A140" s="346" t="str">
        <f>$A$4</f>
        <v>($000 Real 2008)</v>
      </c>
      <c r="B140" s="474" t="s">
        <v>321</v>
      </c>
      <c r="C140" s="475" t="s">
        <v>322</v>
      </c>
      <c r="D140" s="460"/>
      <c r="E140" s="460"/>
      <c r="F140" s="460"/>
      <c r="G140" s="460"/>
      <c r="H140" s="460"/>
      <c r="I140" s="460"/>
      <c r="J140" s="460"/>
    </row>
    <row r="141" spans="1:27" outlineLevel="1" x14ac:dyDescent="0.25">
      <c r="A141" s="469">
        <v>2006</v>
      </c>
      <c r="B141" s="471">
        <f>'Data 2006-08'!D$85*'Data 2006-08'!D156/10^3*(1+'Data 2006-08'!C$141)^2.5</f>
        <v>0</v>
      </c>
      <c r="C141" s="470">
        <f>'Data 2009-15 (Real $2008)'!C$155-(D$139-A141-0.5)</f>
        <v>4.5</v>
      </c>
      <c r="D141" s="87">
        <f>IF(C141&lt;1,B141,B141/C141)</f>
        <v>0</v>
      </c>
      <c r="E141" s="87">
        <f>IF((SUM($D141:D141)+$B141/$C141)&gt;$B141,$B141-SUM($D141:D141),$B141/$C141)</f>
        <v>0</v>
      </c>
      <c r="F141" s="87">
        <f>IF((SUM($D141:E141)+$B141/$C141)&gt;$B141,$B141-SUM($D141:E141),$B141/$C141)</f>
        <v>0</v>
      </c>
      <c r="G141" s="87">
        <f>IF((SUM($D141:F141)+$B141/$C141)&gt;$B141,$B141-SUM($D141:F141),$B141/$C141)</f>
        <v>0</v>
      </c>
      <c r="H141" s="87">
        <f>IF((SUM($D141:G141)+$B141/$C141)&gt;$B141,$B141-SUM($D141:G141),$B141/$C141)</f>
        <v>0</v>
      </c>
      <c r="I141" s="87">
        <f>IF((SUM($D141:H141)+$B141/$C141)&gt;$B141,$B141-SUM($D141:H141),$B141/$C141)</f>
        <v>0</v>
      </c>
      <c r="J141" s="87">
        <f>IF((SUM($D141:I141)+$B141/$C141)&gt;$B141,$B141-SUM($D141:I141),$B141/$C141)</f>
        <v>0</v>
      </c>
      <c r="K141" s="87">
        <f>IF((SUM($D141:J141)+$B141/$C141)&gt;$B141,$B141-SUM($D141:J141),$B141/$C141)</f>
        <v>0</v>
      </c>
      <c r="L141" s="87">
        <f>IF((SUM($D141:K141)+$B141/$C141)&gt;$B141,$B141-SUM($D141:K141),$B141/$C141)</f>
        <v>0</v>
      </c>
      <c r="M141" s="87">
        <f>IF((SUM($D141:L141)+$B141/$C141)&gt;$B141,$B141-SUM($D141:L141),$B141/$C141)</f>
        <v>0</v>
      </c>
      <c r="N141" s="87">
        <f>IF((SUM($D141:M141)+$B141/$C141)&gt;$B141,$B141-SUM($D141:M141),$B141/$C141)</f>
        <v>0</v>
      </c>
      <c r="O141" s="87">
        <f>IF((SUM($D141:N141)+$B141/$C141)&gt;$B141,$B141-SUM($D141:N141),$B141/$C141)</f>
        <v>0</v>
      </c>
      <c r="P141" s="87">
        <f>IF((SUM($D141:O141)+$B141/$C141)&gt;$B141,$B141-SUM($D141:O141),$B141/$C141)</f>
        <v>0</v>
      </c>
      <c r="Q141" s="87">
        <f>IF((SUM($D141:P141)+$B141/$C141)&gt;$B141,$B141-SUM($D141:P141),$B141/$C141)</f>
        <v>0</v>
      </c>
      <c r="R141" s="87">
        <f>IF((SUM($D141:Q141)+$B141/$C141)&gt;$B141,$B141-SUM($D141:Q141),$B141/$C141)</f>
        <v>0</v>
      </c>
      <c r="S141" s="87">
        <f>IF((SUM($D141:R141)+$B141/$C141)&gt;$B141,$B141-SUM($D141:R141),$B141/$C141)</f>
        <v>0</v>
      </c>
      <c r="T141" s="87">
        <f>IF((SUM($D141:S141)+$B141/$C141)&gt;$B141,$B141-SUM($D141:S141),$B141/$C141)</f>
        <v>0</v>
      </c>
      <c r="U141" s="87">
        <f>IF((SUM($D141:T141)+$B141/$C141)&gt;$B141,$B141-SUM($D141:T141),$B141/$C141)</f>
        <v>0</v>
      </c>
      <c r="V141" s="87">
        <f>IF((SUM($D141:U141)+$B141/$C141)&gt;$B141,$B141-SUM($D141:U141),$B141/$C141)</f>
        <v>0</v>
      </c>
      <c r="W141" s="87">
        <f>IF((SUM($D141:V141)+$B141/$C141)&gt;$B141,$B141-SUM($D141:V141),$B141/$C141)</f>
        <v>0</v>
      </c>
      <c r="X141" s="87">
        <f>IF((SUM($D141:W141)+$B141/$C141)&gt;$B141,$B141-SUM($D141:W141),$B141/$C141)</f>
        <v>0</v>
      </c>
      <c r="Y141" s="87">
        <f>IF((SUM($D141:X141)+$B141/$C141)&gt;$B141,$B141-SUM($D141:X141),$B141/$C141)</f>
        <v>0</v>
      </c>
      <c r="Z141" s="87">
        <f>IF((SUM($D141:Y141)+$B141/$C141)&gt;$B141,$B141-SUM($D141:Y141),$B141/$C141)</f>
        <v>0</v>
      </c>
      <c r="AA141" s="87">
        <f>IF((SUM($D141:Z141)+$B141/$C141)&gt;$B141,$B141-SUM($D141:Z141),$B141/$C141)</f>
        <v>0</v>
      </c>
    </row>
    <row r="142" spans="1:27" outlineLevel="1" x14ac:dyDescent="0.25">
      <c r="A142" s="469">
        <v>2007</v>
      </c>
      <c r="B142" s="471">
        <f>'Data 2006-08'!E$85*'Data 2006-08'!E156/10^3*(1+'Data 2006-08'!C$141)^1.5</f>
        <v>4194.6895960458105</v>
      </c>
      <c r="C142" s="470">
        <f>'Data 2009-15 (Real $2008)'!C$155-(D$139-A142-0.5)</f>
        <v>5.5</v>
      </c>
      <c r="D142" s="87">
        <f>IF(C142&lt;1,B142,B142/C142)</f>
        <v>762.67083564469283</v>
      </c>
      <c r="E142" s="87">
        <f>IF((SUM($D142:D142)+$B142/$C142)&gt;$B142,$B142-SUM($D142:D142),$B142/$C142)</f>
        <v>762.67083564469283</v>
      </c>
      <c r="F142" s="87">
        <f>IF((SUM($D142:E142)+$B142/$C142)&gt;$B142,$B142-SUM($D142:E142),$B142/$C142)</f>
        <v>762.67083564469283</v>
      </c>
      <c r="G142" s="87">
        <f>IF((SUM($D142:F142)+$B142/$C142)&gt;$B142,$B142-SUM($D142:F142),$B142/$C142)</f>
        <v>762.67083564469283</v>
      </c>
      <c r="H142" s="87">
        <f>IF((SUM($D142:G142)+$B142/$C142)&gt;$B142,$B142-SUM($D142:G142),$B142/$C142)</f>
        <v>762.67083564469283</v>
      </c>
      <c r="I142" s="87">
        <f>IF((SUM($D142:H142)+$B142/$C142)&gt;$B142,$B142-SUM($D142:H142),$B142/$C142)</f>
        <v>381.33541782234624</v>
      </c>
      <c r="J142" s="87">
        <f>IF((SUM($D142:I142)+$B142/$C142)&gt;$B142,$B142-SUM($D142:I142),$B142/$C142)</f>
        <v>0</v>
      </c>
      <c r="K142" s="87">
        <f>IF((SUM($D142:J142)+$B142/$C142)&gt;$B142,$B142-SUM($D142:J142),$B142/$C142)</f>
        <v>0</v>
      </c>
      <c r="L142" s="87">
        <f>IF((SUM($D142:K142)+$B142/$C142)&gt;$B142,$B142-SUM($D142:K142),$B142/$C142)</f>
        <v>0</v>
      </c>
      <c r="M142" s="87">
        <f>IF((SUM($D142:L142)+$B142/$C142)&gt;$B142,$B142-SUM($D142:L142),$B142/$C142)</f>
        <v>0</v>
      </c>
      <c r="N142" s="87">
        <f>IF((SUM($D142:M142)+$B142/$C142)&gt;$B142,$B142-SUM($D142:M142),$B142/$C142)</f>
        <v>0</v>
      </c>
      <c r="O142" s="87">
        <f>IF((SUM($D142:N142)+$B142/$C142)&gt;$B142,$B142-SUM($D142:N142),$B142/$C142)</f>
        <v>0</v>
      </c>
      <c r="P142" s="87">
        <f>IF((SUM($D142:O142)+$B142/$C142)&gt;$B142,$B142-SUM($D142:O142),$B142/$C142)</f>
        <v>0</v>
      </c>
      <c r="Q142" s="87">
        <f>IF((SUM($D142:P142)+$B142/$C142)&gt;$B142,$B142-SUM($D142:P142),$B142/$C142)</f>
        <v>0</v>
      </c>
      <c r="R142" s="87">
        <f>IF((SUM($D142:Q142)+$B142/$C142)&gt;$B142,$B142-SUM($D142:Q142),$B142/$C142)</f>
        <v>0</v>
      </c>
      <c r="S142" s="87">
        <f>IF((SUM($D142:R142)+$B142/$C142)&gt;$B142,$B142-SUM($D142:R142),$B142/$C142)</f>
        <v>0</v>
      </c>
      <c r="T142" s="87">
        <f>IF((SUM($D142:S142)+$B142/$C142)&gt;$B142,$B142-SUM($D142:S142),$B142/$C142)</f>
        <v>0</v>
      </c>
      <c r="U142" s="87">
        <f>IF((SUM($D142:T142)+$B142/$C142)&gt;$B142,$B142-SUM($D142:T142),$B142/$C142)</f>
        <v>0</v>
      </c>
      <c r="V142" s="87">
        <f>IF((SUM($D142:U142)+$B142/$C142)&gt;$B142,$B142-SUM($D142:U142),$B142/$C142)</f>
        <v>0</v>
      </c>
      <c r="W142" s="87">
        <f>IF((SUM($D142:V142)+$B142/$C142)&gt;$B142,$B142-SUM($D142:V142),$B142/$C142)</f>
        <v>0</v>
      </c>
      <c r="X142" s="87">
        <f>IF((SUM($D142:W142)+$B142/$C142)&gt;$B142,$B142-SUM($D142:W142),$B142/$C142)</f>
        <v>0</v>
      </c>
      <c r="Y142" s="87">
        <f>IF((SUM($D142:X142)+$B142/$C142)&gt;$B142,$B142-SUM($D142:X142),$B142/$C142)</f>
        <v>0</v>
      </c>
      <c r="Z142" s="87">
        <f>IF((SUM($D142:Y142)+$B142/$C142)&gt;$B142,$B142-SUM($D142:Y142),$B142/$C142)</f>
        <v>0</v>
      </c>
      <c r="AA142" s="87">
        <f>IF((SUM($D142:Z142)+$B142/$C142)&gt;$B142,$B142-SUM($D142:Z142),$B142/$C142)</f>
        <v>0</v>
      </c>
    </row>
    <row r="143" spans="1:27" outlineLevel="1" x14ac:dyDescent="0.25">
      <c r="A143" s="469">
        <v>2008</v>
      </c>
      <c r="B143" s="471">
        <f>'Data 2006-08'!F$85/10^3*(1+'Data 2006-08'!C$141)^0.5</f>
        <v>10324.998008198878</v>
      </c>
      <c r="C143" s="470">
        <f>'Data 2009-15 (Real $2008)'!C$155-(D$139-A143-0.5)</f>
        <v>6.5</v>
      </c>
      <c r="D143" s="87">
        <f>IF(C143&lt;1,B143,B143/C143)</f>
        <v>1588.4612320305966</v>
      </c>
      <c r="E143" s="87">
        <f>IF((SUM($D143:D143)+$B143/$C143)&gt;$B143,$B143-SUM($D143:D143),$B143/$C143)</f>
        <v>1588.4612320305966</v>
      </c>
      <c r="F143" s="87">
        <f>IF((SUM($D143:E143)+$B143/$C143)&gt;$B143,$B143-SUM($D143:E143),$B143/$C143)</f>
        <v>1588.4612320305966</v>
      </c>
      <c r="G143" s="87">
        <f>IF((SUM($D143:F143)+$B143/$C143)&gt;$B143,$B143-SUM($D143:F143),$B143/$C143)</f>
        <v>1588.4612320305966</v>
      </c>
      <c r="H143" s="87">
        <f>IF((SUM($D143:G143)+$B143/$C143)&gt;$B143,$B143-SUM($D143:G143),$B143/$C143)</f>
        <v>1588.4612320305966</v>
      </c>
      <c r="I143" s="87">
        <f>IF((SUM($D143:H143)+$B143/$C143)&gt;$B143,$B143-SUM($D143:H143),$B143/$C143)</f>
        <v>1588.4612320305966</v>
      </c>
      <c r="J143" s="87">
        <f>IF((SUM($D143:I143)+$B143/$C143)&gt;$B143,$B143-SUM($D143:I143),$B143/$C143)</f>
        <v>794.23061601529844</v>
      </c>
      <c r="K143" s="87">
        <f>IF((SUM($D143:J143)+$B143/$C143)&gt;$B143,$B143-SUM($D143:J143),$B143/$C143)</f>
        <v>0</v>
      </c>
      <c r="L143" s="87">
        <f>IF((SUM($D143:K143)+$B143/$C143)&gt;$B143,$B143-SUM($D143:K143),$B143/$C143)</f>
        <v>0</v>
      </c>
      <c r="M143" s="87">
        <f>IF((SUM($D143:L143)+$B143/$C143)&gt;$B143,$B143-SUM($D143:L143),$B143/$C143)</f>
        <v>0</v>
      </c>
      <c r="N143" s="87">
        <f>IF((SUM($D143:M143)+$B143/$C143)&gt;$B143,$B143-SUM($D143:M143),$B143/$C143)</f>
        <v>0</v>
      </c>
      <c r="O143" s="87">
        <f>IF((SUM($D143:N143)+$B143/$C143)&gt;$B143,$B143-SUM($D143:N143),$B143/$C143)</f>
        <v>0</v>
      </c>
      <c r="P143" s="87">
        <f>IF((SUM($D143:O143)+$B143/$C143)&gt;$B143,$B143-SUM($D143:O143),$B143/$C143)</f>
        <v>0</v>
      </c>
      <c r="Q143" s="87">
        <f>IF((SUM($D143:P143)+$B143/$C143)&gt;$B143,$B143-SUM($D143:P143),$B143/$C143)</f>
        <v>0</v>
      </c>
      <c r="R143" s="87">
        <f>IF((SUM($D143:Q143)+$B143/$C143)&gt;$B143,$B143-SUM($D143:Q143),$B143/$C143)</f>
        <v>0</v>
      </c>
      <c r="S143" s="87">
        <f>IF((SUM($D143:R143)+$B143/$C143)&gt;$B143,$B143-SUM($D143:R143),$B143/$C143)</f>
        <v>0</v>
      </c>
      <c r="T143" s="87">
        <f>IF((SUM($D143:S143)+$B143/$C143)&gt;$B143,$B143-SUM($D143:S143),$B143/$C143)</f>
        <v>0</v>
      </c>
      <c r="U143" s="87">
        <f>IF((SUM($D143:T143)+$B143/$C143)&gt;$B143,$B143-SUM($D143:T143),$B143/$C143)</f>
        <v>0</v>
      </c>
      <c r="V143" s="87">
        <f>IF((SUM($D143:U143)+$B143/$C143)&gt;$B143,$B143-SUM($D143:U143),$B143/$C143)</f>
        <v>0</v>
      </c>
      <c r="W143" s="87">
        <f>IF((SUM($D143:V143)+$B143/$C143)&gt;$B143,$B143-SUM($D143:V143),$B143/$C143)</f>
        <v>0</v>
      </c>
      <c r="X143" s="87">
        <f>IF((SUM($D143:W143)+$B143/$C143)&gt;$B143,$B143-SUM($D143:W143),$B143/$C143)</f>
        <v>0</v>
      </c>
      <c r="Y143" s="87">
        <f>IF((SUM($D143:X143)+$B143/$C143)&gt;$B143,$B143-SUM($D143:X143),$B143/$C143)</f>
        <v>0</v>
      </c>
      <c r="Z143" s="87">
        <f>IF((SUM($D143:Y143)+$B143/$C143)&gt;$B143,$B143-SUM($D143:Y143),$B143/$C143)</f>
        <v>0</v>
      </c>
      <c r="AA143" s="87">
        <f>IF((SUM($D143:Z143)+$B143/$C143)&gt;$B143,$B143-SUM($D143:Z143),$B143/$C143)</f>
        <v>0</v>
      </c>
    </row>
    <row r="144" spans="1:27" outlineLevel="1" x14ac:dyDescent="0.25">
      <c r="A144" s="356"/>
      <c r="B144" s="472">
        <f>SUM(B141:B143)</f>
        <v>14519.687604244689</v>
      </c>
      <c r="D144" s="109">
        <f>SUM(D141:D143)</f>
        <v>2351.1320676752894</v>
      </c>
      <c r="E144" s="109">
        <f t="shared" ref="E144:W144" si="51">SUM(E141:E143)</f>
        <v>2351.1320676752894</v>
      </c>
      <c r="F144" s="109">
        <f t="shared" si="51"/>
        <v>2351.1320676752894</v>
      </c>
      <c r="G144" s="109">
        <f t="shared" si="51"/>
        <v>2351.1320676752894</v>
      </c>
      <c r="H144" s="109">
        <f t="shared" si="51"/>
        <v>2351.1320676752894</v>
      </c>
      <c r="I144" s="109">
        <f t="shared" si="51"/>
        <v>1969.7966498529429</v>
      </c>
      <c r="J144" s="109">
        <f t="shared" si="51"/>
        <v>794.23061601529844</v>
      </c>
      <c r="K144" s="109">
        <f t="shared" si="51"/>
        <v>0</v>
      </c>
      <c r="L144" s="109">
        <f t="shared" si="51"/>
        <v>0</v>
      </c>
      <c r="M144" s="109">
        <f t="shared" si="51"/>
        <v>0</v>
      </c>
      <c r="N144" s="109">
        <f t="shared" si="51"/>
        <v>0</v>
      </c>
      <c r="O144" s="109">
        <f t="shared" si="51"/>
        <v>0</v>
      </c>
      <c r="P144" s="109">
        <f t="shared" si="51"/>
        <v>0</v>
      </c>
      <c r="Q144" s="109">
        <f t="shared" si="51"/>
        <v>0</v>
      </c>
      <c r="R144" s="109">
        <f t="shared" si="51"/>
        <v>0</v>
      </c>
      <c r="S144" s="109">
        <f t="shared" si="51"/>
        <v>0</v>
      </c>
      <c r="T144" s="109">
        <f t="shared" si="51"/>
        <v>0</v>
      </c>
      <c r="U144" s="109">
        <f t="shared" si="51"/>
        <v>0</v>
      </c>
      <c r="V144" s="109">
        <f t="shared" si="51"/>
        <v>0</v>
      </c>
      <c r="W144" s="109">
        <f t="shared" si="51"/>
        <v>0</v>
      </c>
      <c r="X144" s="109">
        <f>SUM(X141:X143)</f>
        <v>0</v>
      </c>
      <c r="Y144" s="109">
        <f>SUM(Y141:Y143)</f>
        <v>0</v>
      </c>
      <c r="Z144" s="109">
        <f>SUM(Z141:Z143)</f>
        <v>0</v>
      </c>
      <c r="AA144" s="109">
        <f>SUM(AA141:AA143)</f>
        <v>0</v>
      </c>
    </row>
    <row r="145" spans="1:27" outlineLevel="1" x14ac:dyDescent="0.25"/>
    <row r="146" spans="1:27" outlineLevel="1" x14ac:dyDescent="0.25"/>
    <row r="147" spans="1:27" outlineLevel="1" x14ac:dyDescent="0.25">
      <c r="A147" s="346" t="s">
        <v>279</v>
      </c>
      <c r="B147" s="473" t="s">
        <v>320</v>
      </c>
      <c r="C147" s="308" t="s">
        <v>323</v>
      </c>
      <c r="D147" s="468">
        <f>D$4</f>
        <v>2009</v>
      </c>
      <c r="E147" s="468">
        <f t="shared" ref="E147:AA147" si="52">E$4</f>
        <v>2010</v>
      </c>
      <c r="F147" s="468">
        <f t="shared" si="52"/>
        <v>2011</v>
      </c>
      <c r="G147" s="468">
        <f t="shared" si="52"/>
        <v>2012</v>
      </c>
      <c r="H147" s="468">
        <f t="shared" si="52"/>
        <v>2013</v>
      </c>
      <c r="I147" s="468">
        <f t="shared" si="52"/>
        <v>2014</v>
      </c>
      <c r="J147" s="468">
        <f t="shared" si="52"/>
        <v>2015</v>
      </c>
      <c r="K147" s="468">
        <f t="shared" si="52"/>
        <v>2016</v>
      </c>
      <c r="L147" s="468">
        <f t="shared" si="52"/>
        <v>2017</v>
      </c>
      <c r="M147" s="468">
        <f t="shared" si="52"/>
        <v>2018</v>
      </c>
      <c r="N147" s="468">
        <f t="shared" si="52"/>
        <v>2019</v>
      </c>
      <c r="O147" s="468">
        <f t="shared" si="52"/>
        <v>2020</v>
      </c>
      <c r="P147" s="468">
        <f t="shared" si="52"/>
        <v>2021</v>
      </c>
      <c r="Q147" s="468">
        <f t="shared" si="52"/>
        <v>2022</v>
      </c>
      <c r="R147" s="468">
        <f t="shared" si="52"/>
        <v>2023</v>
      </c>
      <c r="S147" s="468">
        <f t="shared" si="52"/>
        <v>2024</v>
      </c>
      <c r="T147" s="468">
        <f t="shared" si="52"/>
        <v>2025</v>
      </c>
      <c r="U147" s="468">
        <f t="shared" si="52"/>
        <v>2026</v>
      </c>
      <c r="V147" s="468">
        <f t="shared" si="52"/>
        <v>2027</v>
      </c>
      <c r="W147" s="468">
        <f t="shared" si="52"/>
        <v>2028</v>
      </c>
      <c r="X147" s="468">
        <f t="shared" si="52"/>
        <v>2029</v>
      </c>
      <c r="Y147" s="468">
        <f t="shared" si="52"/>
        <v>2030</v>
      </c>
      <c r="Z147" s="468">
        <f t="shared" si="52"/>
        <v>2031</v>
      </c>
      <c r="AA147" s="468">
        <f t="shared" si="52"/>
        <v>2032</v>
      </c>
    </row>
    <row r="148" spans="1:27" outlineLevel="1" x14ac:dyDescent="0.25">
      <c r="A148" s="346" t="str">
        <f>$A$4</f>
        <v>($000 Real 2008)</v>
      </c>
      <c r="B148" s="474" t="s">
        <v>321</v>
      </c>
      <c r="C148" s="475" t="s">
        <v>322</v>
      </c>
      <c r="D148" s="460"/>
      <c r="E148" s="460"/>
      <c r="F148" s="460"/>
      <c r="G148" s="460"/>
      <c r="H148" s="460"/>
      <c r="I148" s="460"/>
      <c r="J148" s="460"/>
    </row>
    <row r="149" spans="1:27" outlineLevel="1" x14ac:dyDescent="0.25">
      <c r="A149" s="469">
        <v>2006</v>
      </c>
      <c r="B149" s="471">
        <f>'Data 2006-08'!D$86*'Data 2006-08'!D156/10^3*(1+'Data 2006-08'!C$141)^2.5</f>
        <v>0</v>
      </c>
      <c r="C149" s="470">
        <f>'Data 2009-15 (Real $2008)'!C$156-(D$147-A149-0.5)</f>
        <v>4.5</v>
      </c>
      <c r="D149" s="87">
        <f>IF(C149&lt;1,B149,B149/C149)</f>
        <v>0</v>
      </c>
      <c r="E149" s="87">
        <f>IF((SUM($D149:D149)+$B149/$C149)&gt;$B149,$B149-SUM($D149:D149),$B149/$C149)</f>
        <v>0</v>
      </c>
      <c r="F149" s="87">
        <f>IF((SUM($D149:E149)+$B149/$C149)&gt;$B149,$B149-SUM($D149:E149),$B149/$C149)</f>
        <v>0</v>
      </c>
      <c r="G149" s="87">
        <f>IF((SUM($D149:F149)+$B149/$C149)&gt;$B149,$B149-SUM($D149:F149),$B149/$C149)</f>
        <v>0</v>
      </c>
      <c r="H149" s="87">
        <f>IF((SUM($D149:G149)+$B149/$C149)&gt;$B149,$B149-SUM($D149:G149),$B149/$C149)</f>
        <v>0</v>
      </c>
      <c r="I149" s="87">
        <f>IF((SUM($D149:H149)+$B149/$C149)&gt;$B149,$B149-SUM($D149:H149),$B149/$C149)</f>
        <v>0</v>
      </c>
      <c r="J149" s="87">
        <f>IF((SUM($D149:I149)+$B149/$C149)&gt;$B149,$B149-SUM($D149:I149),$B149/$C149)</f>
        <v>0</v>
      </c>
      <c r="K149" s="87">
        <f>IF((SUM($D149:J149)+$B149/$C149)&gt;$B149,$B149-SUM($D149:J149),$B149/$C149)</f>
        <v>0</v>
      </c>
      <c r="L149" s="87">
        <f>IF((SUM($D149:K149)+$B149/$C149)&gt;$B149,$B149-SUM($D149:K149),$B149/$C149)</f>
        <v>0</v>
      </c>
      <c r="M149" s="87">
        <f>IF((SUM($D149:L149)+$B149/$C149)&gt;$B149,$B149-SUM($D149:L149),$B149/$C149)</f>
        <v>0</v>
      </c>
      <c r="N149" s="87">
        <f>IF((SUM($D149:M149)+$B149/$C149)&gt;$B149,$B149-SUM($D149:M149),$B149/$C149)</f>
        <v>0</v>
      </c>
      <c r="O149" s="87">
        <f>IF((SUM($D149:N149)+$B149/$C149)&gt;$B149,$B149-SUM($D149:N149),$B149/$C149)</f>
        <v>0</v>
      </c>
      <c r="P149" s="87">
        <f>IF((SUM($D149:O149)+$B149/$C149)&gt;$B149,$B149-SUM($D149:O149),$B149/$C149)</f>
        <v>0</v>
      </c>
      <c r="Q149" s="87">
        <f>IF((SUM($D149:P149)+$B149/$C149)&gt;$B149,$B149-SUM($D149:P149),$B149/$C149)</f>
        <v>0</v>
      </c>
      <c r="R149" s="87">
        <f>IF((SUM($D149:Q149)+$B149/$C149)&gt;$B149,$B149-SUM($D149:Q149),$B149/$C149)</f>
        <v>0</v>
      </c>
      <c r="S149" s="87">
        <f>IF((SUM($D149:R149)+$B149/$C149)&gt;$B149,$B149-SUM($D149:R149),$B149/$C149)</f>
        <v>0</v>
      </c>
      <c r="T149" s="87">
        <f>IF((SUM($D149:S149)+$B149/$C149)&gt;$B149,$B149-SUM($D149:S149),$B149/$C149)</f>
        <v>0</v>
      </c>
      <c r="U149" s="87">
        <f>IF((SUM($D149:T149)+$B149/$C149)&gt;$B149,$B149-SUM($D149:T149),$B149/$C149)</f>
        <v>0</v>
      </c>
      <c r="V149" s="87">
        <f>IF((SUM($D149:U149)+$B149/$C149)&gt;$B149,$B149-SUM($D149:U149),$B149/$C149)</f>
        <v>0</v>
      </c>
      <c r="W149" s="87">
        <f>IF((SUM($D149:V149)+$B149/$C149)&gt;$B149,$B149-SUM($D149:V149),$B149/$C149)</f>
        <v>0</v>
      </c>
      <c r="X149" s="87">
        <f>IF((SUM($D149:W149)+$B149/$C149)&gt;$B149,$B149-SUM($D149:W149),$B149/$C149)</f>
        <v>0</v>
      </c>
      <c r="Y149" s="87">
        <f>IF((SUM($D149:X149)+$B149/$C149)&gt;$B149,$B149-SUM($D149:X149),$B149/$C149)</f>
        <v>0</v>
      </c>
      <c r="Z149" s="87">
        <f>IF((SUM($D149:Y149)+$B149/$C149)&gt;$B149,$B149-SUM($D149:Y149),$B149/$C149)</f>
        <v>0</v>
      </c>
      <c r="AA149" s="87">
        <f>IF((SUM($D149:Z149)+$B149/$C149)&gt;$B149,$B149-SUM($D149:Z149),$B149/$C149)</f>
        <v>0</v>
      </c>
    </row>
    <row r="150" spans="1:27" outlineLevel="1" x14ac:dyDescent="0.25">
      <c r="A150" s="469">
        <v>2007</v>
      </c>
      <c r="B150" s="471">
        <f>'Data 2006-08'!E$86*'Data 2006-08'!E156/10^3*(1+'Data 2006-08'!C$141)^1.5</f>
        <v>0</v>
      </c>
      <c r="C150" s="470">
        <f>'Data 2009-15 (Real $2008)'!C$156-(D$147-A150-0.5)</f>
        <v>5.5</v>
      </c>
      <c r="D150" s="87">
        <f>IF(C150&lt;1,B150,B150/C150)</f>
        <v>0</v>
      </c>
      <c r="E150" s="87">
        <f>IF((SUM($D150:D150)+$B150/$C150)&gt;$B150,$B150-SUM($D150:D150),$B150/$C150)</f>
        <v>0</v>
      </c>
      <c r="F150" s="87">
        <f>IF((SUM($D150:E150)+$B150/$C150)&gt;$B150,$B150-SUM($D150:E150),$B150/$C150)</f>
        <v>0</v>
      </c>
      <c r="G150" s="87">
        <f>IF((SUM($D150:F150)+$B150/$C150)&gt;$B150,$B150-SUM($D150:F150),$B150/$C150)</f>
        <v>0</v>
      </c>
      <c r="H150" s="87">
        <f>IF((SUM($D150:G150)+$B150/$C150)&gt;$B150,$B150-SUM($D150:G150),$B150/$C150)</f>
        <v>0</v>
      </c>
      <c r="I150" s="87">
        <f>IF((SUM($D150:H150)+$B150/$C150)&gt;$B150,$B150-SUM($D150:H150),$B150/$C150)</f>
        <v>0</v>
      </c>
      <c r="J150" s="87">
        <f>IF((SUM($D150:I150)+$B150/$C150)&gt;$B150,$B150-SUM($D150:I150),$B150/$C150)</f>
        <v>0</v>
      </c>
      <c r="K150" s="87">
        <f>IF((SUM($D150:J150)+$B150/$C150)&gt;$B150,$B150-SUM($D150:J150),$B150/$C150)</f>
        <v>0</v>
      </c>
      <c r="L150" s="87">
        <f>IF((SUM($D150:K150)+$B150/$C150)&gt;$B150,$B150-SUM($D150:K150),$B150/$C150)</f>
        <v>0</v>
      </c>
      <c r="M150" s="87">
        <f>IF((SUM($D150:L150)+$B150/$C150)&gt;$B150,$B150-SUM($D150:L150),$B150/$C150)</f>
        <v>0</v>
      </c>
      <c r="N150" s="87">
        <f>IF((SUM($D150:M150)+$B150/$C150)&gt;$B150,$B150-SUM($D150:M150),$B150/$C150)</f>
        <v>0</v>
      </c>
      <c r="O150" s="87">
        <f>IF((SUM($D150:N150)+$B150/$C150)&gt;$B150,$B150-SUM($D150:N150),$B150/$C150)</f>
        <v>0</v>
      </c>
      <c r="P150" s="87">
        <f>IF((SUM($D150:O150)+$B150/$C150)&gt;$B150,$B150-SUM($D150:O150),$B150/$C150)</f>
        <v>0</v>
      </c>
      <c r="Q150" s="87">
        <f>IF((SUM($D150:P150)+$B150/$C150)&gt;$B150,$B150-SUM($D150:P150),$B150/$C150)</f>
        <v>0</v>
      </c>
      <c r="R150" s="87">
        <f>IF((SUM($D150:Q150)+$B150/$C150)&gt;$B150,$B150-SUM($D150:Q150),$B150/$C150)</f>
        <v>0</v>
      </c>
      <c r="S150" s="87">
        <f>IF((SUM($D150:R150)+$B150/$C150)&gt;$B150,$B150-SUM($D150:R150),$B150/$C150)</f>
        <v>0</v>
      </c>
      <c r="T150" s="87">
        <f>IF((SUM($D150:S150)+$B150/$C150)&gt;$B150,$B150-SUM($D150:S150),$B150/$C150)</f>
        <v>0</v>
      </c>
      <c r="U150" s="87">
        <f>IF((SUM($D150:T150)+$B150/$C150)&gt;$B150,$B150-SUM($D150:T150),$B150/$C150)</f>
        <v>0</v>
      </c>
      <c r="V150" s="87">
        <f>IF((SUM($D150:U150)+$B150/$C150)&gt;$B150,$B150-SUM($D150:U150),$B150/$C150)</f>
        <v>0</v>
      </c>
      <c r="W150" s="87">
        <f>IF((SUM($D150:V150)+$B150/$C150)&gt;$B150,$B150-SUM($D150:V150),$B150/$C150)</f>
        <v>0</v>
      </c>
      <c r="X150" s="87">
        <f>IF((SUM($D150:W150)+$B150/$C150)&gt;$B150,$B150-SUM($D150:W150),$B150/$C150)</f>
        <v>0</v>
      </c>
      <c r="Y150" s="87">
        <f>IF((SUM($D150:X150)+$B150/$C150)&gt;$B150,$B150-SUM($D150:X150),$B150/$C150)</f>
        <v>0</v>
      </c>
      <c r="Z150" s="87">
        <f>IF((SUM($D150:Y150)+$B150/$C150)&gt;$B150,$B150-SUM($D150:Y150),$B150/$C150)</f>
        <v>0</v>
      </c>
      <c r="AA150" s="87">
        <f>IF((SUM($D150:Z150)+$B150/$C150)&gt;$B150,$B150-SUM($D150:Z150),$B150/$C150)</f>
        <v>0</v>
      </c>
    </row>
    <row r="151" spans="1:27" outlineLevel="1" x14ac:dyDescent="0.25">
      <c r="A151" s="469">
        <v>2008</v>
      </c>
      <c r="B151" s="471">
        <f>'Data 2006-08'!F$86/10^3*(1+'Data 2006-08'!C$141)^0.5</f>
        <v>0</v>
      </c>
      <c r="C151" s="470">
        <f>'Data 2009-15 (Real $2008)'!C$156-(D$147-A151-0.5)</f>
        <v>6.5</v>
      </c>
      <c r="D151" s="87">
        <f>IF(C151&lt;1,B151,B151/C151)</f>
        <v>0</v>
      </c>
      <c r="E151" s="87">
        <f>IF((SUM($D151:D151)+$B151/$C151)&gt;$B151,$B151-SUM($D151:D151),$B151/$C151)</f>
        <v>0</v>
      </c>
      <c r="F151" s="87">
        <f>IF((SUM($D151:E151)+$B151/$C151)&gt;$B151,$B151-SUM($D151:E151),$B151/$C151)</f>
        <v>0</v>
      </c>
      <c r="G151" s="87">
        <f>IF((SUM($D151:F151)+$B151/$C151)&gt;$B151,$B151-SUM($D151:F151),$B151/$C151)</f>
        <v>0</v>
      </c>
      <c r="H151" s="87">
        <f>IF((SUM($D151:G151)+$B151/$C151)&gt;$B151,$B151-SUM($D151:G151),$B151/$C151)</f>
        <v>0</v>
      </c>
      <c r="I151" s="87">
        <f>IF((SUM($D151:H151)+$B151/$C151)&gt;$B151,$B151-SUM($D151:H151),$B151/$C151)</f>
        <v>0</v>
      </c>
      <c r="J151" s="87">
        <f>IF((SUM($D151:I151)+$B151/$C151)&gt;$B151,$B151-SUM($D151:I151),$B151/$C151)</f>
        <v>0</v>
      </c>
      <c r="K151" s="87">
        <f>IF((SUM($D151:J151)+$B151/$C151)&gt;$B151,$B151-SUM($D151:J151),$B151/$C151)</f>
        <v>0</v>
      </c>
      <c r="L151" s="87">
        <f>IF((SUM($D151:K151)+$B151/$C151)&gt;$B151,$B151-SUM($D151:K151),$B151/$C151)</f>
        <v>0</v>
      </c>
      <c r="M151" s="87">
        <f>IF((SUM($D151:L151)+$B151/$C151)&gt;$B151,$B151-SUM($D151:L151),$B151/$C151)</f>
        <v>0</v>
      </c>
      <c r="N151" s="87">
        <f>IF((SUM($D151:M151)+$B151/$C151)&gt;$B151,$B151-SUM($D151:M151),$B151/$C151)</f>
        <v>0</v>
      </c>
      <c r="O151" s="87">
        <f>IF((SUM($D151:N151)+$B151/$C151)&gt;$B151,$B151-SUM($D151:N151),$B151/$C151)</f>
        <v>0</v>
      </c>
      <c r="P151" s="87">
        <f>IF((SUM($D151:O151)+$B151/$C151)&gt;$B151,$B151-SUM($D151:O151),$B151/$C151)</f>
        <v>0</v>
      </c>
      <c r="Q151" s="87">
        <f>IF((SUM($D151:P151)+$B151/$C151)&gt;$B151,$B151-SUM($D151:P151),$B151/$C151)</f>
        <v>0</v>
      </c>
      <c r="R151" s="87">
        <f>IF((SUM($D151:Q151)+$B151/$C151)&gt;$B151,$B151-SUM($D151:Q151),$B151/$C151)</f>
        <v>0</v>
      </c>
      <c r="S151" s="87">
        <f>IF((SUM($D151:R151)+$B151/$C151)&gt;$B151,$B151-SUM($D151:R151),$B151/$C151)</f>
        <v>0</v>
      </c>
      <c r="T151" s="87">
        <f>IF((SUM($D151:S151)+$B151/$C151)&gt;$B151,$B151-SUM($D151:S151),$B151/$C151)</f>
        <v>0</v>
      </c>
      <c r="U151" s="87">
        <f>IF((SUM($D151:T151)+$B151/$C151)&gt;$B151,$B151-SUM($D151:T151),$B151/$C151)</f>
        <v>0</v>
      </c>
      <c r="V151" s="87">
        <f>IF((SUM($D151:U151)+$B151/$C151)&gt;$B151,$B151-SUM($D151:U151),$B151/$C151)</f>
        <v>0</v>
      </c>
      <c r="W151" s="87">
        <f>IF((SUM($D151:V151)+$B151/$C151)&gt;$B151,$B151-SUM($D151:V151),$B151/$C151)</f>
        <v>0</v>
      </c>
      <c r="X151" s="87">
        <f>IF((SUM($D151:W151)+$B151/$C151)&gt;$B151,$B151-SUM($D151:W151),$B151/$C151)</f>
        <v>0</v>
      </c>
      <c r="Y151" s="87">
        <f>IF((SUM($D151:X151)+$B151/$C151)&gt;$B151,$B151-SUM($D151:X151),$B151/$C151)</f>
        <v>0</v>
      </c>
      <c r="Z151" s="87">
        <f>IF((SUM($D151:Y151)+$B151/$C151)&gt;$B151,$B151-SUM($D151:Y151),$B151/$C151)</f>
        <v>0</v>
      </c>
      <c r="AA151" s="87">
        <f>IF((SUM($D151:Z151)+$B151/$C151)&gt;$B151,$B151-SUM($D151:Z151),$B151/$C151)</f>
        <v>0</v>
      </c>
    </row>
    <row r="152" spans="1:27" outlineLevel="1" x14ac:dyDescent="0.25">
      <c r="B152" s="472">
        <f>SUM(B149:B151)</f>
        <v>0</v>
      </c>
      <c r="D152" s="109">
        <f>SUM(D149:D151)</f>
        <v>0</v>
      </c>
      <c r="E152" s="109">
        <f t="shared" ref="E152:W152" si="53">SUM(E149:E151)</f>
        <v>0</v>
      </c>
      <c r="F152" s="109">
        <f t="shared" si="53"/>
        <v>0</v>
      </c>
      <c r="G152" s="109">
        <f t="shared" si="53"/>
        <v>0</v>
      </c>
      <c r="H152" s="109">
        <f t="shared" si="53"/>
        <v>0</v>
      </c>
      <c r="I152" s="109">
        <f t="shared" si="53"/>
        <v>0</v>
      </c>
      <c r="J152" s="109">
        <f t="shared" si="53"/>
        <v>0</v>
      </c>
      <c r="K152" s="109">
        <f t="shared" si="53"/>
        <v>0</v>
      </c>
      <c r="L152" s="109">
        <f t="shared" si="53"/>
        <v>0</v>
      </c>
      <c r="M152" s="109">
        <f t="shared" si="53"/>
        <v>0</v>
      </c>
      <c r="N152" s="109">
        <f t="shared" si="53"/>
        <v>0</v>
      </c>
      <c r="O152" s="109">
        <f t="shared" si="53"/>
        <v>0</v>
      </c>
      <c r="P152" s="109">
        <f t="shared" si="53"/>
        <v>0</v>
      </c>
      <c r="Q152" s="109">
        <f t="shared" si="53"/>
        <v>0</v>
      </c>
      <c r="R152" s="109">
        <f t="shared" si="53"/>
        <v>0</v>
      </c>
      <c r="S152" s="109">
        <f t="shared" si="53"/>
        <v>0</v>
      </c>
      <c r="T152" s="109">
        <f t="shared" si="53"/>
        <v>0</v>
      </c>
      <c r="U152" s="109">
        <f t="shared" si="53"/>
        <v>0</v>
      </c>
      <c r="V152" s="109">
        <f t="shared" si="53"/>
        <v>0</v>
      </c>
      <c r="W152" s="109">
        <f t="shared" si="53"/>
        <v>0</v>
      </c>
      <c r="X152" s="109">
        <f>SUM(X149:X151)</f>
        <v>0</v>
      </c>
      <c r="Y152" s="109">
        <f>SUM(Y149:Y151)</f>
        <v>0</v>
      </c>
      <c r="Z152" s="109">
        <f>SUM(Z149:Z151)</f>
        <v>0</v>
      </c>
      <c r="AA152" s="109">
        <f>SUM(AA149:AA151)</f>
        <v>0</v>
      </c>
    </row>
    <row r="153" spans="1:27" outlineLevel="1" x14ac:dyDescent="0.25"/>
    <row r="154" spans="1:27" outlineLevel="1" x14ac:dyDescent="0.25"/>
    <row r="155" spans="1:27" outlineLevel="1" x14ac:dyDescent="0.25">
      <c r="A155" s="346" t="s">
        <v>278</v>
      </c>
      <c r="B155" s="473" t="s">
        <v>320</v>
      </c>
      <c r="C155" s="308" t="s">
        <v>323</v>
      </c>
      <c r="D155" s="468">
        <f>D$4</f>
        <v>2009</v>
      </c>
      <c r="E155" s="468">
        <f t="shared" ref="E155:AA155" si="54">E$4</f>
        <v>2010</v>
      </c>
      <c r="F155" s="468">
        <f t="shared" si="54"/>
        <v>2011</v>
      </c>
      <c r="G155" s="468">
        <f t="shared" si="54"/>
        <v>2012</v>
      </c>
      <c r="H155" s="468">
        <f t="shared" si="54"/>
        <v>2013</v>
      </c>
      <c r="I155" s="468">
        <f t="shared" si="54"/>
        <v>2014</v>
      </c>
      <c r="J155" s="468">
        <f t="shared" si="54"/>
        <v>2015</v>
      </c>
      <c r="K155" s="468">
        <f t="shared" si="54"/>
        <v>2016</v>
      </c>
      <c r="L155" s="468">
        <f t="shared" si="54"/>
        <v>2017</v>
      </c>
      <c r="M155" s="468">
        <f t="shared" si="54"/>
        <v>2018</v>
      </c>
      <c r="N155" s="468">
        <f t="shared" si="54"/>
        <v>2019</v>
      </c>
      <c r="O155" s="468">
        <f t="shared" si="54"/>
        <v>2020</v>
      </c>
      <c r="P155" s="468">
        <f t="shared" si="54"/>
        <v>2021</v>
      </c>
      <c r="Q155" s="468">
        <f t="shared" si="54"/>
        <v>2022</v>
      </c>
      <c r="R155" s="468">
        <f t="shared" si="54"/>
        <v>2023</v>
      </c>
      <c r="S155" s="468">
        <f t="shared" si="54"/>
        <v>2024</v>
      </c>
      <c r="T155" s="468">
        <f t="shared" si="54"/>
        <v>2025</v>
      </c>
      <c r="U155" s="468">
        <f t="shared" si="54"/>
        <v>2026</v>
      </c>
      <c r="V155" s="468">
        <f t="shared" si="54"/>
        <v>2027</v>
      </c>
      <c r="W155" s="468">
        <f t="shared" si="54"/>
        <v>2028</v>
      </c>
      <c r="X155" s="468">
        <f t="shared" si="54"/>
        <v>2029</v>
      </c>
      <c r="Y155" s="468">
        <f t="shared" si="54"/>
        <v>2030</v>
      </c>
      <c r="Z155" s="468">
        <f t="shared" si="54"/>
        <v>2031</v>
      </c>
      <c r="AA155" s="468">
        <f t="shared" si="54"/>
        <v>2032</v>
      </c>
    </row>
    <row r="156" spans="1:27" outlineLevel="1" x14ac:dyDescent="0.25">
      <c r="A156" s="346" t="str">
        <f>$A$4</f>
        <v>($000 Real 2008)</v>
      </c>
      <c r="B156" s="474" t="s">
        <v>321</v>
      </c>
      <c r="C156" s="475" t="s">
        <v>322</v>
      </c>
      <c r="D156" s="460"/>
      <c r="E156" s="460"/>
      <c r="F156" s="460"/>
      <c r="G156" s="460"/>
      <c r="H156" s="460"/>
      <c r="I156" s="460"/>
      <c r="J156" s="460"/>
    </row>
    <row r="157" spans="1:27" outlineLevel="1" x14ac:dyDescent="0.25">
      <c r="A157" s="469">
        <v>2006</v>
      </c>
      <c r="B157" s="471">
        <f>'Data 2006-08'!D$87*'Data 2006-08'!D156/10^3*(1+'Data 2006-08'!C$141)^2.5</f>
        <v>0</v>
      </c>
      <c r="C157" s="470">
        <f>'Data 2009-15 (Real $2008)'!C$157-(D$155-A157-0.5)</f>
        <v>4.5</v>
      </c>
      <c r="D157" s="87">
        <f>IF(C157&lt;1,B157,B157/C157)</f>
        <v>0</v>
      </c>
      <c r="E157" s="87">
        <f>IF((SUM($D157:D157)+$B157/$C157)&gt;$B157,$B157-SUM($D157:D157),$B157/$C157)</f>
        <v>0</v>
      </c>
      <c r="F157" s="87">
        <f>IF((SUM($D157:E157)+$B157/$C157)&gt;$B157,$B157-SUM($D157:E157),$B157/$C157)</f>
        <v>0</v>
      </c>
      <c r="G157" s="87">
        <f>IF((SUM($D157:F157)+$B157/$C157)&gt;$B157,$B157-SUM($D157:F157),$B157/$C157)</f>
        <v>0</v>
      </c>
      <c r="H157" s="87">
        <f>IF((SUM($D157:G157)+$B157/$C157)&gt;$B157,$B157-SUM($D157:G157),$B157/$C157)</f>
        <v>0</v>
      </c>
      <c r="I157" s="87">
        <f>IF((SUM($D157:H157)+$B157/$C157)&gt;$B157,$B157-SUM($D157:H157),$B157/$C157)</f>
        <v>0</v>
      </c>
      <c r="J157" s="87">
        <f>IF((SUM($D157:I157)+$B157/$C157)&gt;$B157,$B157-SUM($D157:I157),$B157/$C157)</f>
        <v>0</v>
      </c>
      <c r="K157" s="87">
        <f>IF((SUM($D157:J157)+$B157/$C157)&gt;$B157,$B157-SUM($D157:J157),$B157/$C157)</f>
        <v>0</v>
      </c>
      <c r="L157" s="87">
        <f>IF((SUM($D157:K157)+$B157/$C157)&gt;$B157,$B157-SUM($D157:K157),$B157/$C157)</f>
        <v>0</v>
      </c>
      <c r="M157" s="87">
        <f>IF((SUM($D157:L157)+$B157/$C157)&gt;$B157,$B157-SUM($D157:L157),$B157/$C157)</f>
        <v>0</v>
      </c>
      <c r="N157" s="87">
        <f>IF((SUM($D157:M157)+$B157/$C157)&gt;$B157,$B157-SUM($D157:M157),$B157/$C157)</f>
        <v>0</v>
      </c>
      <c r="O157" s="87">
        <f>IF((SUM($D157:N157)+$B157/$C157)&gt;$B157,$B157-SUM($D157:N157),$B157/$C157)</f>
        <v>0</v>
      </c>
      <c r="P157" s="87">
        <f>IF((SUM($D157:O157)+$B157/$C157)&gt;$B157,$B157-SUM($D157:O157),$B157/$C157)</f>
        <v>0</v>
      </c>
      <c r="Q157" s="87">
        <f>IF((SUM($D157:P157)+$B157/$C157)&gt;$B157,$B157-SUM($D157:P157),$B157/$C157)</f>
        <v>0</v>
      </c>
      <c r="R157" s="87">
        <f>IF((SUM($D157:Q157)+$B157/$C157)&gt;$B157,$B157-SUM($D157:Q157),$B157/$C157)</f>
        <v>0</v>
      </c>
      <c r="S157" s="87">
        <f>IF((SUM($D157:R157)+$B157/$C157)&gt;$B157,$B157-SUM($D157:R157),$B157/$C157)</f>
        <v>0</v>
      </c>
      <c r="T157" s="87">
        <f>IF((SUM($D157:S157)+$B157/$C157)&gt;$B157,$B157-SUM($D157:S157),$B157/$C157)</f>
        <v>0</v>
      </c>
      <c r="U157" s="87">
        <f>IF((SUM($D157:T157)+$B157/$C157)&gt;$B157,$B157-SUM($D157:T157),$B157/$C157)</f>
        <v>0</v>
      </c>
      <c r="V157" s="87">
        <f>IF((SUM($D157:U157)+$B157/$C157)&gt;$B157,$B157-SUM($D157:U157),$B157/$C157)</f>
        <v>0</v>
      </c>
      <c r="W157" s="87">
        <f>IF((SUM($D157:V157)+$B157/$C157)&gt;$B157,$B157-SUM($D157:V157),$B157/$C157)</f>
        <v>0</v>
      </c>
      <c r="X157" s="87">
        <f>IF((SUM($D157:W157)+$B157/$C157)&gt;$B157,$B157-SUM($D157:W157),$B157/$C157)</f>
        <v>0</v>
      </c>
      <c r="Y157" s="87">
        <f>IF((SUM($D157:X157)+$B157/$C157)&gt;$B157,$B157-SUM($D157:X157),$B157/$C157)</f>
        <v>0</v>
      </c>
      <c r="Z157" s="87">
        <f>IF((SUM($D157:Y157)+$B157/$C157)&gt;$B157,$B157-SUM($D157:Y157),$B157/$C157)</f>
        <v>0</v>
      </c>
      <c r="AA157" s="87">
        <f>IF((SUM($D157:Z157)+$B157/$C157)&gt;$B157,$B157-SUM($D157:Z157),$B157/$C157)</f>
        <v>0</v>
      </c>
    </row>
    <row r="158" spans="1:27" outlineLevel="1" x14ac:dyDescent="0.25">
      <c r="A158" s="469">
        <v>2007</v>
      </c>
      <c r="B158" s="471">
        <f>'Data 2006-08'!E$87*'Data 2006-08'!E156/10^3*(1+'Data 2006-08'!C$141)^1.5</f>
        <v>0</v>
      </c>
      <c r="C158" s="470">
        <f>'Data 2009-15 (Real $2008)'!C$157-(D$155-A158-0.5)</f>
        <v>5.5</v>
      </c>
      <c r="D158" s="87">
        <f>IF(C158&lt;1,B158,B158/C158)</f>
        <v>0</v>
      </c>
      <c r="E158" s="87">
        <f>IF((SUM($D158:D158)+$B158/$C158)&gt;$B158,$B158-SUM($D158:D158),$B158/$C158)</f>
        <v>0</v>
      </c>
      <c r="F158" s="87">
        <f>IF((SUM($D158:E158)+$B158/$C158)&gt;$B158,$B158-SUM($D158:E158),$B158/$C158)</f>
        <v>0</v>
      </c>
      <c r="G158" s="87">
        <f>IF((SUM($D158:F158)+$B158/$C158)&gt;$B158,$B158-SUM($D158:F158),$B158/$C158)</f>
        <v>0</v>
      </c>
      <c r="H158" s="87">
        <f>IF((SUM($D158:G158)+$B158/$C158)&gt;$B158,$B158-SUM($D158:G158),$B158/$C158)</f>
        <v>0</v>
      </c>
      <c r="I158" s="87">
        <f>IF((SUM($D158:H158)+$B158/$C158)&gt;$B158,$B158-SUM($D158:H158),$B158/$C158)</f>
        <v>0</v>
      </c>
      <c r="J158" s="87">
        <f>IF((SUM($D158:I158)+$B158/$C158)&gt;$B158,$B158-SUM($D158:I158),$B158/$C158)</f>
        <v>0</v>
      </c>
      <c r="K158" s="87">
        <f>IF((SUM($D158:J158)+$B158/$C158)&gt;$B158,$B158-SUM($D158:J158),$B158/$C158)</f>
        <v>0</v>
      </c>
      <c r="L158" s="87">
        <f>IF((SUM($D158:K158)+$B158/$C158)&gt;$B158,$B158-SUM($D158:K158),$B158/$C158)</f>
        <v>0</v>
      </c>
      <c r="M158" s="87">
        <f>IF((SUM($D158:L158)+$B158/$C158)&gt;$B158,$B158-SUM($D158:L158),$B158/$C158)</f>
        <v>0</v>
      </c>
      <c r="N158" s="87">
        <f>IF((SUM($D158:M158)+$B158/$C158)&gt;$B158,$B158-SUM($D158:M158),$B158/$C158)</f>
        <v>0</v>
      </c>
      <c r="O158" s="87">
        <f>IF((SUM($D158:N158)+$B158/$C158)&gt;$B158,$B158-SUM($D158:N158),$B158/$C158)</f>
        <v>0</v>
      </c>
      <c r="P158" s="87">
        <f>IF((SUM($D158:O158)+$B158/$C158)&gt;$B158,$B158-SUM($D158:O158),$B158/$C158)</f>
        <v>0</v>
      </c>
      <c r="Q158" s="87">
        <f>IF((SUM($D158:P158)+$B158/$C158)&gt;$B158,$B158-SUM($D158:P158),$B158/$C158)</f>
        <v>0</v>
      </c>
      <c r="R158" s="87">
        <f>IF((SUM($D158:Q158)+$B158/$C158)&gt;$B158,$B158-SUM($D158:Q158),$B158/$C158)</f>
        <v>0</v>
      </c>
      <c r="S158" s="87">
        <f>IF((SUM($D158:R158)+$B158/$C158)&gt;$B158,$B158-SUM($D158:R158),$B158/$C158)</f>
        <v>0</v>
      </c>
      <c r="T158" s="87">
        <f>IF((SUM($D158:S158)+$B158/$C158)&gt;$B158,$B158-SUM($D158:S158),$B158/$C158)</f>
        <v>0</v>
      </c>
      <c r="U158" s="87">
        <f>IF((SUM($D158:T158)+$B158/$C158)&gt;$B158,$B158-SUM($D158:T158),$B158/$C158)</f>
        <v>0</v>
      </c>
      <c r="V158" s="87">
        <f>IF((SUM($D158:U158)+$B158/$C158)&gt;$B158,$B158-SUM($D158:U158),$B158/$C158)</f>
        <v>0</v>
      </c>
      <c r="W158" s="87">
        <f>IF((SUM($D158:V158)+$B158/$C158)&gt;$B158,$B158-SUM($D158:V158),$B158/$C158)</f>
        <v>0</v>
      </c>
      <c r="X158" s="87">
        <f>IF((SUM($D158:W158)+$B158/$C158)&gt;$B158,$B158-SUM($D158:W158),$B158/$C158)</f>
        <v>0</v>
      </c>
      <c r="Y158" s="87">
        <f>IF((SUM($D158:X158)+$B158/$C158)&gt;$B158,$B158-SUM($D158:X158),$B158/$C158)</f>
        <v>0</v>
      </c>
      <c r="Z158" s="87">
        <f>IF((SUM($D158:Y158)+$B158/$C158)&gt;$B158,$B158-SUM($D158:Y158),$B158/$C158)</f>
        <v>0</v>
      </c>
      <c r="AA158" s="87">
        <f>IF((SUM($D158:Z158)+$B158/$C158)&gt;$B158,$B158-SUM($D158:Z158),$B158/$C158)</f>
        <v>0</v>
      </c>
    </row>
    <row r="159" spans="1:27" outlineLevel="1" x14ac:dyDescent="0.25">
      <c r="A159" s="469">
        <v>2008</v>
      </c>
      <c r="B159" s="471">
        <f>'Data 2006-08'!F$87/10^3*(1+'Data 2006-08'!C$141)^0.5</f>
        <v>0</v>
      </c>
      <c r="C159" s="470">
        <f>'Data 2009-15 (Real $2008)'!C$157-(D$155-A159-0.5)</f>
        <v>6.5</v>
      </c>
      <c r="D159" s="87">
        <f>IF(C159&lt;1,B159,B159/C159)</f>
        <v>0</v>
      </c>
      <c r="E159" s="87">
        <f>IF((SUM($D159:D159)+$B159/$C159)&gt;$B159,$B159-SUM($D159:D159),$B159/$C159)</f>
        <v>0</v>
      </c>
      <c r="F159" s="87">
        <f>IF((SUM($D159:E159)+$B159/$C159)&gt;$B159,$B159-SUM($D159:E159),$B159/$C159)</f>
        <v>0</v>
      </c>
      <c r="G159" s="87">
        <f>IF((SUM($D159:F159)+$B159/$C159)&gt;$B159,$B159-SUM($D159:F159),$B159/$C159)</f>
        <v>0</v>
      </c>
      <c r="H159" s="87">
        <f>IF((SUM($D159:G159)+$B159/$C159)&gt;$B159,$B159-SUM($D159:G159),$B159/$C159)</f>
        <v>0</v>
      </c>
      <c r="I159" s="87">
        <f>IF((SUM($D159:H159)+$B159/$C159)&gt;$B159,$B159-SUM($D159:H159),$B159/$C159)</f>
        <v>0</v>
      </c>
      <c r="J159" s="87">
        <f>IF((SUM($D159:I159)+$B159/$C159)&gt;$B159,$B159-SUM($D159:I159),$B159/$C159)</f>
        <v>0</v>
      </c>
      <c r="K159" s="87">
        <f>IF((SUM($D159:J159)+$B159/$C159)&gt;$B159,$B159-SUM($D159:J159),$B159/$C159)</f>
        <v>0</v>
      </c>
      <c r="L159" s="87">
        <f>IF((SUM($D159:K159)+$B159/$C159)&gt;$B159,$B159-SUM($D159:K159),$B159/$C159)</f>
        <v>0</v>
      </c>
      <c r="M159" s="87">
        <f>IF((SUM($D159:L159)+$B159/$C159)&gt;$B159,$B159-SUM($D159:L159),$B159/$C159)</f>
        <v>0</v>
      </c>
      <c r="N159" s="87">
        <f>IF((SUM($D159:M159)+$B159/$C159)&gt;$B159,$B159-SUM($D159:M159),$B159/$C159)</f>
        <v>0</v>
      </c>
      <c r="O159" s="87">
        <f>IF((SUM($D159:N159)+$B159/$C159)&gt;$B159,$B159-SUM($D159:N159),$B159/$C159)</f>
        <v>0</v>
      </c>
      <c r="P159" s="87">
        <f>IF((SUM($D159:O159)+$B159/$C159)&gt;$B159,$B159-SUM($D159:O159),$B159/$C159)</f>
        <v>0</v>
      </c>
      <c r="Q159" s="87">
        <f>IF((SUM($D159:P159)+$B159/$C159)&gt;$B159,$B159-SUM($D159:P159),$B159/$C159)</f>
        <v>0</v>
      </c>
      <c r="R159" s="87">
        <f>IF((SUM($D159:Q159)+$B159/$C159)&gt;$B159,$B159-SUM($D159:Q159),$B159/$C159)</f>
        <v>0</v>
      </c>
      <c r="S159" s="87">
        <f>IF((SUM($D159:R159)+$B159/$C159)&gt;$B159,$B159-SUM($D159:R159),$B159/$C159)</f>
        <v>0</v>
      </c>
      <c r="T159" s="87">
        <f>IF((SUM($D159:S159)+$B159/$C159)&gt;$B159,$B159-SUM($D159:S159),$B159/$C159)</f>
        <v>0</v>
      </c>
      <c r="U159" s="87">
        <f>IF((SUM($D159:T159)+$B159/$C159)&gt;$B159,$B159-SUM($D159:T159),$B159/$C159)</f>
        <v>0</v>
      </c>
      <c r="V159" s="87">
        <f>IF((SUM($D159:U159)+$B159/$C159)&gt;$B159,$B159-SUM($D159:U159),$B159/$C159)</f>
        <v>0</v>
      </c>
      <c r="W159" s="87">
        <f>IF((SUM($D159:V159)+$B159/$C159)&gt;$B159,$B159-SUM($D159:V159),$B159/$C159)</f>
        <v>0</v>
      </c>
      <c r="X159" s="87">
        <f>IF((SUM($D159:W159)+$B159/$C159)&gt;$B159,$B159-SUM($D159:W159),$B159/$C159)</f>
        <v>0</v>
      </c>
      <c r="Y159" s="87">
        <f>IF((SUM($D159:X159)+$B159/$C159)&gt;$B159,$B159-SUM($D159:X159),$B159/$C159)</f>
        <v>0</v>
      </c>
      <c r="Z159" s="87">
        <f>IF((SUM($D159:Y159)+$B159/$C159)&gt;$B159,$B159-SUM($D159:Y159),$B159/$C159)</f>
        <v>0</v>
      </c>
      <c r="AA159" s="87">
        <f>IF((SUM($D159:Z159)+$B159/$C159)&gt;$B159,$B159-SUM($D159:Z159),$B159/$C159)</f>
        <v>0</v>
      </c>
    </row>
    <row r="160" spans="1:27" outlineLevel="1" x14ac:dyDescent="0.25">
      <c r="B160" s="472">
        <f>SUM(B157:B159)</f>
        <v>0</v>
      </c>
      <c r="D160" s="109">
        <f>SUM(D157:D159)</f>
        <v>0</v>
      </c>
      <c r="E160" s="109">
        <f t="shared" ref="E160:W160" si="55">SUM(E157:E159)</f>
        <v>0</v>
      </c>
      <c r="F160" s="109">
        <f t="shared" si="55"/>
        <v>0</v>
      </c>
      <c r="G160" s="109">
        <f t="shared" si="55"/>
        <v>0</v>
      </c>
      <c r="H160" s="109">
        <f t="shared" si="55"/>
        <v>0</v>
      </c>
      <c r="I160" s="109">
        <f t="shared" si="55"/>
        <v>0</v>
      </c>
      <c r="J160" s="109">
        <f t="shared" si="55"/>
        <v>0</v>
      </c>
      <c r="K160" s="109">
        <f t="shared" si="55"/>
        <v>0</v>
      </c>
      <c r="L160" s="109">
        <f t="shared" si="55"/>
        <v>0</v>
      </c>
      <c r="M160" s="109">
        <f t="shared" si="55"/>
        <v>0</v>
      </c>
      <c r="N160" s="109">
        <f t="shared" si="55"/>
        <v>0</v>
      </c>
      <c r="O160" s="109">
        <f t="shared" si="55"/>
        <v>0</v>
      </c>
      <c r="P160" s="109">
        <f t="shared" si="55"/>
        <v>0</v>
      </c>
      <c r="Q160" s="109">
        <f t="shared" si="55"/>
        <v>0</v>
      </c>
      <c r="R160" s="109">
        <f t="shared" si="55"/>
        <v>0</v>
      </c>
      <c r="S160" s="109">
        <f t="shared" si="55"/>
        <v>0</v>
      </c>
      <c r="T160" s="109">
        <f t="shared" si="55"/>
        <v>0</v>
      </c>
      <c r="U160" s="109">
        <f t="shared" si="55"/>
        <v>0</v>
      </c>
      <c r="V160" s="109">
        <f t="shared" si="55"/>
        <v>0</v>
      </c>
      <c r="W160" s="109">
        <f t="shared" si="55"/>
        <v>0</v>
      </c>
      <c r="X160" s="109">
        <f>SUM(X157:X159)</f>
        <v>0</v>
      </c>
      <c r="Y160" s="109">
        <f>SUM(Y157:Y159)</f>
        <v>0</v>
      </c>
      <c r="Z160" s="109">
        <f>SUM(Z157:Z159)</f>
        <v>0</v>
      </c>
      <c r="AA160" s="109">
        <f>SUM(AA157:AA159)</f>
        <v>0</v>
      </c>
    </row>
    <row r="161" spans="1:27" outlineLevel="1" x14ac:dyDescent="0.25"/>
    <row r="162" spans="1:27" outlineLevel="1" x14ac:dyDescent="0.25"/>
    <row r="163" spans="1:27" ht="13.8" outlineLevel="1" thickBot="1" x14ac:dyDescent="0.3">
      <c r="A163" s="476" t="s">
        <v>45</v>
      </c>
      <c r="B163" s="477">
        <f>SUM(B136,B144,B152,B160)</f>
        <v>14519.687604244689</v>
      </c>
      <c r="C163" s="476"/>
      <c r="D163" s="479">
        <f t="shared" ref="D163:W163" si="56">SUM(D136,D144,D152,D160)</f>
        <v>2351.1320676752894</v>
      </c>
      <c r="E163" s="479">
        <f t="shared" si="56"/>
        <v>2351.1320676752894</v>
      </c>
      <c r="F163" s="479">
        <f t="shared" si="56"/>
        <v>2351.1320676752894</v>
      </c>
      <c r="G163" s="479">
        <f t="shared" si="56"/>
        <v>2351.1320676752894</v>
      </c>
      <c r="H163" s="479">
        <f t="shared" si="56"/>
        <v>2351.1320676752894</v>
      </c>
      <c r="I163" s="479">
        <f t="shared" si="56"/>
        <v>1969.7966498529429</v>
      </c>
      <c r="J163" s="479">
        <f t="shared" si="56"/>
        <v>794.23061601529844</v>
      </c>
      <c r="K163" s="479">
        <f t="shared" si="56"/>
        <v>0</v>
      </c>
      <c r="L163" s="479">
        <f t="shared" si="56"/>
        <v>0</v>
      </c>
      <c r="M163" s="479">
        <f t="shared" si="56"/>
        <v>0</v>
      </c>
      <c r="N163" s="479">
        <f t="shared" si="56"/>
        <v>0</v>
      </c>
      <c r="O163" s="479">
        <f t="shared" si="56"/>
        <v>0</v>
      </c>
      <c r="P163" s="479">
        <f t="shared" si="56"/>
        <v>0</v>
      </c>
      <c r="Q163" s="479">
        <f t="shared" si="56"/>
        <v>0</v>
      </c>
      <c r="R163" s="479">
        <f t="shared" si="56"/>
        <v>0</v>
      </c>
      <c r="S163" s="479">
        <f t="shared" si="56"/>
        <v>0</v>
      </c>
      <c r="T163" s="479">
        <f t="shared" si="56"/>
        <v>0</v>
      </c>
      <c r="U163" s="479">
        <f t="shared" si="56"/>
        <v>0</v>
      </c>
      <c r="V163" s="479">
        <f t="shared" si="56"/>
        <v>0</v>
      </c>
      <c r="W163" s="479">
        <f t="shared" si="56"/>
        <v>0</v>
      </c>
      <c r="X163" s="479">
        <f>SUM(X136,X144,X152,X160)</f>
        <v>0</v>
      </c>
      <c r="Y163" s="479">
        <f>SUM(Y136,Y144,Y152,Y160)</f>
        <v>0</v>
      </c>
      <c r="Z163" s="479">
        <f>SUM(Z136,Z144,Z152,Z160)</f>
        <v>0</v>
      </c>
      <c r="AA163" s="479">
        <f>SUM(AA136,AA144,AA152,AA160)</f>
        <v>0</v>
      </c>
    </row>
    <row r="164" spans="1:27" ht="13.8" outlineLevel="1" thickTop="1" x14ac:dyDescent="0.25">
      <c r="J164" s="466"/>
    </row>
    <row r="165" spans="1:27" outlineLevel="1" x14ac:dyDescent="0.25">
      <c r="J165" s="466"/>
    </row>
    <row r="166" spans="1:27" x14ac:dyDescent="0.25">
      <c r="J166" s="466"/>
    </row>
    <row r="167" spans="1:27" x14ac:dyDescent="0.25">
      <c r="A167" s="60" t="s">
        <v>385</v>
      </c>
      <c r="B167" s="60"/>
      <c r="C167" s="60"/>
      <c r="J167" s="466"/>
    </row>
    <row r="168" spans="1:27" x14ac:dyDescent="0.25">
      <c r="A168" s="346" t="str">
        <f>$A$4</f>
        <v>($000 Real 2008)</v>
      </c>
      <c r="J168" s="466"/>
    </row>
    <row r="169" spans="1:27" x14ac:dyDescent="0.25">
      <c r="A169" s="101" t="s">
        <v>327</v>
      </c>
      <c r="D169" s="468">
        <f>D$4</f>
        <v>2009</v>
      </c>
      <c r="E169" s="468">
        <f t="shared" ref="E169:AA169" si="57">E$4</f>
        <v>2010</v>
      </c>
      <c r="F169" s="468">
        <f t="shared" si="57"/>
        <v>2011</v>
      </c>
      <c r="G169" s="468">
        <f t="shared" si="57"/>
        <v>2012</v>
      </c>
      <c r="H169" s="468">
        <f t="shared" si="57"/>
        <v>2013</v>
      </c>
      <c r="I169" s="468">
        <f t="shared" si="57"/>
        <v>2014</v>
      </c>
      <c r="J169" s="468">
        <f t="shared" si="57"/>
        <v>2015</v>
      </c>
      <c r="K169" s="468">
        <f t="shared" si="57"/>
        <v>2016</v>
      </c>
      <c r="L169" s="468">
        <f t="shared" si="57"/>
        <v>2017</v>
      </c>
      <c r="M169" s="468">
        <f t="shared" si="57"/>
        <v>2018</v>
      </c>
      <c r="N169" s="468">
        <f t="shared" si="57"/>
        <v>2019</v>
      </c>
      <c r="O169" s="468">
        <f t="shared" si="57"/>
        <v>2020</v>
      </c>
      <c r="P169" s="468">
        <f t="shared" si="57"/>
        <v>2021</v>
      </c>
      <c r="Q169" s="468">
        <f t="shared" si="57"/>
        <v>2022</v>
      </c>
      <c r="R169" s="468">
        <f t="shared" si="57"/>
        <v>2023</v>
      </c>
      <c r="S169" s="468">
        <f t="shared" si="57"/>
        <v>2024</v>
      </c>
      <c r="T169" s="468">
        <f t="shared" si="57"/>
        <v>2025</v>
      </c>
      <c r="U169" s="468">
        <f t="shared" si="57"/>
        <v>2026</v>
      </c>
      <c r="V169" s="468">
        <f t="shared" si="57"/>
        <v>2027</v>
      </c>
      <c r="W169" s="468">
        <f t="shared" si="57"/>
        <v>2028</v>
      </c>
      <c r="X169" s="468">
        <f t="shared" si="57"/>
        <v>2029</v>
      </c>
      <c r="Y169" s="468">
        <f t="shared" si="57"/>
        <v>2030</v>
      </c>
      <c r="Z169" s="468">
        <f t="shared" si="57"/>
        <v>2031</v>
      </c>
      <c r="AA169" s="468">
        <f t="shared" si="57"/>
        <v>2032</v>
      </c>
    </row>
    <row r="170" spans="1:27" x14ac:dyDescent="0.25">
      <c r="A170" s="73" t="s">
        <v>171</v>
      </c>
      <c r="D170" s="483">
        <v>0</v>
      </c>
      <c r="E170" s="87">
        <f>D173</f>
        <v>33801.66938253089</v>
      </c>
      <c r="F170" s="87">
        <f t="shared" ref="F170:W170" si="58">E173</f>
        <v>105774.84137551965</v>
      </c>
      <c r="G170" s="87">
        <f t="shared" si="58"/>
        <v>187023.23576467947</v>
      </c>
      <c r="H170" s="87">
        <f t="shared" si="58"/>
        <v>279033.58011227928</v>
      </c>
      <c r="I170" s="87">
        <f t="shared" si="58"/>
        <v>342125.62237620045</v>
      </c>
      <c r="J170" s="87">
        <f t="shared" si="58"/>
        <v>349250.23726842721</v>
      </c>
      <c r="K170" s="87">
        <f t="shared" si="58"/>
        <v>347394.86757270625</v>
      </c>
      <c r="L170" s="87">
        <f t="shared" si="58"/>
        <v>296307.52332701359</v>
      </c>
      <c r="M170" s="87">
        <f t="shared" si="58"/>
        <v>250278.01491609402</v>
      </c>
      <c r="N170" s="87">
        <f t="shared" si="58"/>
        <v>209550.13367415307</v>
      </c>
      <c r="O170" s="87">
        <f t="shared" si="58"/>
        <v>174050.88209427075</v>
      </c>
      <c r="P170" s="87">
        <f t="shared" si="58"/>
        <v>143400.27161677048</v>
      </c>
      <c r="Q170" s="87">
        <f t="shared" si="58"/>
        <v>115817.47157102186</v>
      </c>
      <c r="R170" s="87">
        <f t="shared" si="58"/>
        <v>92625.155117301081</v>
      </c>
      <c r="S170" s="87">
        <f t="shared" si="58"/>
        <v>72479.868238316587</v>
      </c>
      <c r="T170" s="87">
        <f t="shared" si="58"/>
        <v>52373.242366564125</v>
      </c>
      <c r="U170" s="87">
        <f t="shared" si="58"/>
        <v>33236.301183877462</v>
      </c>
      <c r="V170" s="87">
        <f t="shared" si="58"/>
        <v>17478.570988275573</v>
      </c>
      <c r="W170" s="87">
        <f t="shared" si="58"/>
        <v>6839.4242445685231</v>
      </c>
      <c r="X170" s="87">
        <f>W173</f>
        <v>1601.301394594564</v>
      </c>
      <c r="Y170" s="87">
        <f>X173</f>
        <v>173.77692157616957</v>
      </c>
      <c r="Z170" s="87">
        <f>Y173</f>
        <v>8.7766238721087575E-11</v>
      </c>
      <c r="AA170" s="87">
        <f>Z173</f>
        <v>8.7766238721087575E-11</v>
      </c>
    </row>
    <row r="171" spans="1:27" x14ac:dyDescent="0.25">
      <c r="A171" s="73" t="s">
        <v>319</v>
      </c>
      <c r="D171" s="87">
        <f>D186</f>
        <v>36762.546886406148</v>
      </c>
      <c r="E171" s="87">
        <f t="shared" ref="E171:W171" si="59">E186</f>
        <v>83578.328159850847</v>
      </c>
      <c r="F171" s="87">
        <f t="shared" si="59"/>
        <v>103135.24279429039</v>
      </c>
      <c r="G171" s="87">
        <f t="shared" si="59"/>
        <v>124509.31198456895</v>
      </c>
      <c r="H171" s="87">
        <f t="shared" si="59"/>
        <v>106059.82221512144</v>
      </c>
      <c r="I171" s="87">
        <f t="shared" si="59"/>
        <v>51207.475138068156</v>
      </c>
      <c r="J171" s="87">
        <f t="shared" si="59"/>
        <v>47871.721693590545</v>
      </c>
      <c r="K171" s="87">
        <f t="shared" si="59"/>
        <v>0</v>
      </c>
      <c r="L171" s="87">
        <f t="shared" si="59"/>
        <v>0</v>
      </c>
      <c r="M171" s="87">
        <f t="shared" si="59"/>
        <v>0</v>
      </c>
      <c r="N171" s="87">
        <f t="shared" si="59"/>
        <v>0</v>
      </c>
      <c r="O171" s="87">
        <f t="shared" si="59"/>
        <v>0</v>
      </c>
      <c r="P171" s="87">
        <f t="shared" si="59"/>
        <v>0</v>
      </c>
      <c r="Q171" s="87">
        <f t="shared" si="59"/>
        <v>0</v>
      </c>
      <c r="R171" s="87">
        <f t="shared" si="59"/>
        <v>0</v>
      </c>
      <c r="S171" s="87">
        <f t="shared" si="59"/>
        <v>0</v>
      </c>
      <c r="T171" s="87">
        <f t="shared" si="59"/>
        <v>0</v>
      </c>
      <c r="U171" s="87">
        <f t="shared" si="59"/>
        <v>0</v>
      </c>
      <c r="V171" s="87">
        <f t="shared" si="59"/>
        <v>0</v>
      </c>
      <c r="W171" s="87">
        <f t="shared" si="59"/>
        <v>0</v>
      </c>
      <c r="X171" s="87">
        <f>X186</f>
        <v>0</v>
      </c>
      <c r="Y171" s="87">
        <f>Y186</f>
        <v>0</v>
      </c>
      <c r="Z171" s="87">
        <f>Z186</f>
        <v>0</v>
      </c>
      <c r="AA171" s="87">
        <f>AA186</f>
        <v>0</v>
      </c>
    </row>
    <row r="172" spans="1:27" x14ac:dyDescent="0.25">
      <c r="A172" s="84" t="s">
        <v>137</v>
      </c>
      <c r="D172" s="87">
        <f>D261</f>
        <v>2960.877503875261</v>
      </c>
      <c r="E172" s="87">
        <f t="shared" ref="E172:W172" si="60">E261</f>
        <v>11605.156166862091</v>
      </c>
      <c r="F172" s="87">
        <f t="shared" si="60"/>
        <v>21886.848405130579</v>
      </c>
      <c r="G172" s="87">
        <f t="shared" si="60"/>
        <v>32498.96763696917</v>
      </c>
      <c r="H172" s="87">
        <f t="shared" si="60"/>
        <v>42967.779951200297</v>
      </c>
      <c r="I172" s="87">
        <f t="shared" si="60"/>
        <v>44082.860245841395</v>
      </c>
      <c r="J172" s="87">
        <f t="shared" si="60"/>
        <v>49727.091389311521</v>
      </c>
      <c r="K172" s="87">
        <f t="shared" si="60"/>
        <v>51087.344245692671</v>
      </c>
      <c r="L172" s="87">
        <f t="shared" si="60"/>
        <v>46029.508410919574</v>
      </c>
      <c r="M172" s="87">
        <f t="shared" si="60"/>
        <v>40727.881241940959</v>
      </c>
      <c r="N172" s="87">
        <f t="shared" si="60"/>
        <v>35499.251579882322</v>
      </c>
      <c r="O172" s="87">
        <f t="shared" si="60"/>
        <v>30650.610477500279</v>
      </c>
      <c r="P172" s="87">
        <f t="shared" si="60"/>
        <v>27582.800045748612</v>
      </c>
      <c r="Q172" s="87">
        <f t="shared" si="60"/>
        <v>23192.316453720778</v>
      </c>
      <c r="R172" s="87">
        <f t="shared" si="60"/>
        <v>20145.286878984491</v>
      </c>
      <c r="S172" s="87">
        <f t="shared" si="60"/>
        <v>20106.625871752458</v>
      </c>
      <c r="T172" s="87">
        <f t="shared" si="60"/>
        <v>19136.941182686664</v>
      </c>
      <c r="U172" s="87">
        <f t="shared" si="60"/>
        <v>15757.730195601889</v>
      </c>
      <c r="V172" s="87">
        <f t="shared" si="60"/>
        <v>10639.14674370705</v>
      </c>
      <c r="W172" s="87">
        <f t="shared" si="60"/>
        <v>5238.1228499739591</v>
      </c>
      <c r="X172" s="87">
        <f>X261</f>
        <v>1427.5244730183945</v>
      </c>
      <c r="Y172" s="87">
        <f>Y261</f>
        <v>173.7769215760818</v>
      </c>
      <c r="Z172" s="87">
        <f>Z261</f>
        <v>0</v>
      </c>
      <c r="AA172" s="87">
        <f>AA261</f>
        <v>0</v>
      </c>
    </row>
    <row r="173" spans="1:27" ht="13.8" thickBot="1" x14ac:dyDescent="0.3">
      <c r="A173" s="73" t="s">
        <v>173</v>
      </c>
      <c r="D173" s="76">
        <f>D170+D171-D172</f>
        <v>33801.66938253089</v>
      </c>
      <c r="E173" s="76">
        <f t="shared" ref="E173:W173" si="61">E170+E171-E172</f>
        <v>105774.84137551965</v>
      </c>
      <c r="F173" s="76">
        <f t="shared" si="61"/>
        <v>187023.23576467947</v>
      </c>
      <c r="G173" s="76">
        <f t="shared" si="61"/>
        <v>279033.58011227928</v>
      </c>
      <c r="H173" s="76">
        <f t="shared" si="61"/>
        <v>342125.62237620045</v>
      </c>
      <c r="I173" s="76">
        <f t="shared" si="61"/>
        <v>349250.23726842721</v>
      </c>
      <c r="J173" s="76">
        <f t="shared" si="61"/>
        <v>347394.86757270625</v>
      </c>
      <c r="K173" s="76">
        <f t="shared" si="61"/>
        <v>296307.52332701359</v>
      </c>
      <c r="L173" s="76">
        <f t="shared" si="61"/>
        <v>250278.01491609402</v>
      </c>
      <c r="M173" s="76">
        <f t="shared" si="61"/>
        <v>209550.13367415307</v>
      </c>
      <c r="N173" s="76">
        <f t="shared" si="61"/>
        <v>174050.88209427075</v>
      </c>
      <c r="O173" s="76">
        <f t="shared" si="61"/>
        <v>143400.27161677048</v>
      </c>
      <c r="P173" s="76">
        <f t="shared" si="61"/>
        <v>115817.47157102186</v>
      </c>
      <c r="Q173" s="76">
        <f t="shared" si="61"/>
        <v>92625.155117301081</v>
      </c>
      <c r="R173" s="76">
        <f t="shared" si="61"/>
        <v>72479.868238316587</v>
      </c>
      <c r="S173" s="76">
        <f t="shared" si="61"/>
        <v>52373.242366564125</v>
      </c>
      <c r="T173" s="76">
        <f t="shared" si="61"/>
        <v>33236.301183877462</v>
      </c>
      <c r="U173" s="76">
        <f t="shared" si="61"/>
        <v>17478.570988275573</v>
      </c>
      <c r="V173" s="76">
        <f t="shared" si="61"/>
        <v>6839.4242445685231</v>
      </c>
      <c r="W173" s="76">
        <f t="shared" si="61"/>
        <v>1601.301394594564</v>
      </c>
      <c r="X173" s="76">
        <f>X170+X171-X172</f>
        <v>173.77692157616957</v>
      </c>
      <c r="Y173" s="76">
        <f>Y170+Y171-Y172</f>
        <v>8.7766238721087575E-11</v>
      </c>
      <c r="Z173" s="76">
        <f>Z170+Z171-Z172</f>
        <v>8.7766238721087575E-11</v>
      </c>
      <c r="AA173" s="76">
        <f>AA170+AA171-AA172</f>
        <v>8.7766238721087575E-11</v>
      </c>
    </row>
    <row r="174" spans="1:27" s="101" customFormat="1" ht="13.8" outlineLevel="1" thickTop="1" x14ac:dyDescent="0.25">
      <c r="A174" s="556" t="s">
        <v>0</v>
      </c>
      <c r="B174" s="484"/>
      <c r="C174" s="557">
        <f>SUM(D174:K174)</f>
        <v>0</v>
      </c>
      <c r="D174" s="558">
        <f>IF(ABS(SUM(D171:AA171)-SUM(D172:AA172))&lt;0.001,0,ABS(SUM(D171:AA171)-SUM(D172:AA172)))</f>
        <v>0</v>
      </c>
      <c r="E174" s="558">
        <f t="shared" ref="E174:K174" si="62">IF(ABS(D171-D186)&lt;0.001,0,ABS(D171-D186))</f>
        <v>0</v>
      </c>
      <c r="F174" s="558">
        <f t="shared" si="62"/>
        <v>0</v>
      </c>
      <c r="G174" s="558">
        <f t="shared" si="62"/>
        <v>0</v>
      </c>
      <c r="H174" s="558">
        <f t="shared" si="62"/>
        <v>0</v>
      </c>
      <c r="I174" s="558">
        <f t="shared" si="62"/>
        <v>0</v>
      </c>
      <c r="J174" s="558">
        <f t="shared" si="62"/>
        <v>0</v>
      </c>
      <c r="K174" s="558">
        <f t="shared" si="62"/>
        <v>0</v>
      </c>
    </row>
    <row r="175" spans="1:27" outlineLevel="1" x14ac:dyDescent="0.25">
      <c r="A175" s="346"/>
      <c r="J175" s="466"/>
    </row>
    <row r="176" spans="1:27" outlineLevel="1" x14ac:dyDescent="0.25">
      <c r="A176" s="346"/>
      <c r="J176" s="466"/>
    </row>
    <row r="177" spans="1:27" outlineLevel="1" x14ac:dyDescent="0.25">
      <c r="A177" s="346"/>
      <c r="J177" s="466"/>
    </row>
    <row r="178" spans="1:27" outlineLevel="1" x14ac:dyDescent="0.25">
      <c r="A178" s="346"/>
      <c r="J178" s="466"/>
    </row>
    <row r="179" spans="1:27" outlineLevel="1" x14ac:dyDescent="0.25">
      <c r="A179" s="101" t="s">
        <v>319</v>
      </c>
      <c r="D179" s="468">
        <f>D$4</f>
        <v>2009</v>
      </c>
      <c r="E179" s="468">
        <f t="shared" ref="E179:AA179" si="63">E$4</f>
        <v>2010</v>
      </c>
      <c r="F179" s="468">
        <f t="shared" si="63"/>
        <v>2011</v>
      </c>
      <c r="G179" s="468">
        <f t="shared" si="63"/>
        <v>2012</v>
      </c>
      <c r="H179" s="468">
        <f t="shared" si="63"/>
        <v>2013</v>
      </c>
      <c r="I179" s="468">
        <f t="shared" si="63"/>
        <v>2014</v>
      </c>
      <c r="J179" s="468">
        <f t="shared" si="63"/>
        <v>2015</v>
      </c>
      <c r="K179" s="468">
        <f t="shared" si="63"/>
        <v>2016</v>
      </c>
      <c r="L179" s="468">
        <f t="shared" si="63"/>
        <v>2017</v>
      </c>
      <c r="M179" s="468">
        <f t="shared" si="63"/>
        <v>2018</v>
      </c>
      <c r="N179" s="468">
        <f t="shared" si="63"/>
        <v>2019</v>
      </c>
      <c r="O179" s="468">
        <f t="shared" si="63"/>
        <v>2020</v>
      </c>
      <c r="P179" s="468">
        <f t="shared" si="63"/>
        <v>2021</v>
      </c>
      <c r="Q179" s="468">
        <f t="shared" si="63"/>
        <v>2022</v>
      </c>
      <c r="R179" s="468">
        <f t="shared" si="63"/>
        <v>2023</v>
      </c>
      <c r="S179" s="468">
        <f t="shared" si="63"/>
        <v>2024</v>
      </c>
      <c r="T179" s="468">
        <f t="shared" si="63"/>
        <v>2025</v>
      </c>
      <c r="U179" s="468">
        <f t="shared" si="63"/>
        <v>2026</v>
      </c>
      <c r="V179" s="468">
        <f t="shared" si="63"/>
        <v>2027</v>
      </c>
      <c r="W179" s="468">
        <f t="shared" si="63"/>
        <v>2028</v>
      </c>
      <c r="X179" s="468">
        <f t="shared" si="63"/>
        <v>2029</v>
      </c>
      <c r="Y179" s="468">
        <f t="shared" si="63"/>
        <v>2030</v>
      </c>
      <c r="Z179" s="468">
        <f t="shared" si="63"/>
        <v>2031</v>
      </c>
      <c r="AA179" s="468">
        <f t="shared" si="63"/>
        <v>2032</v>
      </c>
    </row>
    <row r="180" spans="1:27" outlineLevel="1" x14ac:dyDescent="0.25">
      <c r="A180" s="85" t="s">
        <v>42</v>
      </c>
      <c r="D180" s="87">
        <f>('Data 2009-15 (Real $2008)'!D10-'Data 2009-15 (Real $2008)'!D34-'Data 2009-15 (Real $2008)'!D43)/10^3</f>
        <v>5374.6394694873497</v>
      </c>
      <c r="E180" s="87">
        <f>('Data 2009-15 (Real $2008)'!E10-'Data 2009-15 (Real $2008)'!E34-'Data 2009-15 (Real $2008)'!E43)/10^3</f>
        <v>5330.5458062409389</v>
      </c>
      <c r="F180" s="87">
        <f>('Data 2009-15 (Real $2008)'!F10-'Data 2009-15 (Real $2008)'!F34-'Data 2009-15 (Real $2008)'!F43)/10^3</f>
        <v>223.30294287362955</v>
      </c>
      <c r="G180" s="87">
        <f>('Data 2009-15 (Real $2008)'!G10-'Data 2009-15 (Real $2008)'!G34-'Data 2009-15 (Real $2008)'!G43)/10^3</f>
        <v>595.94863909495484</v>
      </c>
      <c r="H180" s="87">
        <f>('Data 2009-15 (Real $2008)'!H10-'Data 2009-15 (Real $2008)'!H34-'Data 2009-15 (Real $2008)'!H43)/10^3</f>
        <v>0</v>
      </c>
      <c r="I180" s="87">
        <f>('Data 2009-15 (Real $2008)'!I10-'Data 2009-15 (Real $2008)'!I34-'Data 2009-15 (Real $2008)'!I43)/10^3</f>
        <v>0</v>
      </c>
      <c r="J180" s="87">
        <f>('Data 2009-15 (Real $2008)'!J10-'Data 2009-15 (Real $2008)'!J34-'Data 2009-15 (Real $2008)'!J43)/10^3</f>
        <v>0</v>
      </c>
      <c r="K180" s="481"/>
      <c r="L180" s="481"/>
      <c r="M180" s="481"/>
      <c r="N180" s="481"/>
      <c r="O180" s="481"/>
      <c r="P180" s="481"/>
      <c r="Q180" s="481"/>
      <c r="R180" s="481"/>
      <c r="S180" s="481"/>
      <c r="T180" s="481"/>
      <c r="U180" s="481"/>
      <c r="V180" s="481"/>
      <c r="W180" s="481"/>
      <c r="X180" s="481"/>
      <c r="Y180" s="481"/>
      <c r="Z180" s="481"/>
      <c r="AA180" s="481"/>
    </row>
    <row r="181" spans="1:27" outlineLevel="1" x14ac:dyDescent="0.25">
      <c r="A181" s="84" t="s">
        <v>260</v>
      </c>
      <c r="D181" s="87">
        <f>('Data 2009-15 (Real $2008)'!D11-'Data 2009-15 (Real $2008)'!D35-'Data 2009-15 (Real $2008)'!D44)/10^3</f>
        <v>4180.3262409206818</v>
      </c>
      <c r="E181" s="87">
        <f>('Data 2009-15 (Real $2008)'!E11-'Data 2009-15 (Real $2008)'!E35-'Data 2009-15 (Real $2008)'!E44)/10^3</f>
        <v>5555.1211708104811</v>
      </c>
      <c r="F181" s="87">
        <f>('Data 2009-15 (Real $2008)'!F11-'Data 2009-15 (Real $2008)'!F35-'Data 2009-15 (Real $2008)'!F44)/10^3</f>
        <v>5.4910559723023651</v>
      </c>
      <c r="G181" s="87">
        <f>('Data 2009-15 (Real $2008)'!G11-'Data 2009-15 (Real $2008)'!G35-'Data 2009-15 (Real $2008)'!G44)/10^3</f>
        <v>61.493315252872833</v>
      </c>
      <c r="H181" s="87">
        <f>('Data 2009-15 (Real $2008)'!H11-'Data 2009-15 (Real $2008)'!H35-'Data 2009-15 (Real $2008)'!H44)/10^3</f>
        <v>0</v>
      </c>
      <c r="I181" s="87">
        <f>('Data 2009-15 (Real $2008)'!I11-'Data 2009-15 (Real $2008)'!I35-'Data 2009-15 (Real $2008)'!I44)/10^3</f>
        <v>0</v>
      </c>
      <c r="J181" s="87">
        <f>('Data 2009-15 (Real $2008)'!J11-'Data 2009-15 (Real $2008)'!J35-'Data 2009-15 (Real $2008)'!J44)/10^3</f>
        <v>0</v>
      </c>
      <c r="K181" s="481"/>
      <c r="L181" s="481"/>
      <c r="M181" s="481"/>
      <c r="N181" s="481"/>
      <c r="O181" s="481"/>
      <c r="P181" s="481"/>
      <c r="Q181" s="481"/>
      <c r="R181" s="481"/>
      <c r="S181" s="481"/>
      <c r="T181" s="481"/>
      <c r="U181" s="481"/>
      <c r="V181" s="481"/>
      <c r="W181" s="481"/>
      <c r="X181" s="481"/>
      <c r="Y181" s="481"/>
      <c r="Z181" s="481"/>
      <c r="AA181" s="481"/>
    </row>
    <row r="182" spans="1:27" outlineLevel="1" x14ac:dyDescent="0.25">
      <c r="A182" s="318" t="str">
        <f>'Data 2009-15 (Real $2008)'!A$154</f>
        <v>Remotely read interval meters &amp; transformers</v>
      </c>
      <c r="D182" s="87">
        <f>('Data 2009-15 (Real $2008)'!D12-'Data 2009-15 (Real $2008)'!D36-'Data 2009-15 (Real $2008)'!D45)/10^3</f>
        <v>1159.830216960961</v>
      </c>
      <c r="E182" s="87">
        <f>('Data 2009-15 (Real $2008)'!E12-'Data 2009-15 (Real $2008)'!E36-'Data 2009-15 (Real $2008)'!E45)/10^3</f>
        <v>27930.710455013079</v>
      </c>
      <c r="F182" s="87">
        <f>('Data 2009-15 (Real $2008)'!F12-'Data 2009-15 (Real $2008)'!F36-'Data 2009-15 (Real $2008)'!F45)/10^3</f>
        <v>73445.619157530295</v>
      </c>
      <c r="G182" s="87">
        <f>('Data 2009-15 (Real $2008)'!G12-'Data 2009-15 (Real $2008)'!G36-'Data 2009-15 (Real $2008)'!G45)/10^3</f>
        <v>80111.884399314353</v>
      </c>
      <c r="H182" s="87">
        <f>('Data 2009-15 (Real $2008)'!H12-'Data 2009-15 (Real $2008)'!H36-'Data 2009-15 (Real $2008)'!H45)/10^3</f>
        <v>81918.832412679607</v>
      </c>
      <c r="I182" s="87">
        <f>('Data 2009-15 (Real $2008)'!I12-'Data 2009-15 (Real $2008)'!I36-'Data 2009-15 (Real $2008)'!I45)/10^3</f>
        <v>32399.118895986627</v>
      </c>
      <c r="J182" s="87">
        <f>('Data 2009-15 (Real $2008)'!J12-'Data 2009-15 (Real $2008)'!J36-'Data 2009-15 (Real $2008)'!J45)/10^3</f>
        <v>5213.3076472824459</v>
      </c>
      <c r="K182" s="481"/>
      <c r="L182" s="481"/>
      <c r="M182" s="481"/>
      <c r="N182" s="481"/>
      <c r="O182" s="481"/>
      <c r="P182" s="481"/>
      <c r="Q182" s="481"/>
      <c r="R182" s="481"/>
      <c r="S182" s="481"/>
      <c r="T182" s="481"/>
      <c r="U182" s="481"/>
      <c r="V182" s="481"/>
      <c r="W182" s="481"/>
      <c r="X182" s="481"/>
      <c r="Y182" s="481"/>
      <c r="Z182" s="481"/>
      <c r="AA182" s="481"/>
    </row>
    <row r="183" spans="1:27" outlineLevel="1" x14ac:dyDescent="0.25">
      <c r="A183" s="84" t="s">
        <v>277</v>
      </c>
      <c r="D183" s="87">
        <f>('Data 2009-15 (Real $2008)'!D13-'Data 2009-15 (Real $2008)'!D37-'Data 2009-15 (Real $2008)'!D46)/10^3</f>
        <v>25201.355539974094</v>
      </c>
      <c r="E183" s="87">
        <f>('Data 2009-15 (Real $2008)'!E13-'Data 2009-15 (Real $2008)'!E37-'Data 2009-15 (Real $2008)'!E46)/10^3</f>
        <v>36524.471515568075</v>
      </c>
      <c r="F183" s="87">
        <f>('Data 2009-15 (Real $2008)'!F13-'Data 2009-15 (Real $2008)'!F37-'Data 2009-15 (Real $2008)'!F46)/10^3</f>
        <v>21261.434569870315</v>
      </c>
      <c r="G183" s="87">
        <f>('Data 2009-15 (Real $2008)'!G13-'Data 2009-15 (Real $2008)'!G37-'Data 2009-15 (Real $2008)'!G46)/10^3</f>
        <v>21785.439711631407</v>
      </c>
      <c r="H183" s="87">
        <f>('Data 2009-15 (Real $2008)'!H13-'Data 2009-15 (Real $2008)'!H37-'Data 2009-15 (Real $2008)'!H46)/10^3</f>
        <v>7831.8045605887964</v>
      </c>
      <c r="I183" s="87">
        <f>('Data 2009-15 (Real $2008)'!I13-'Data 2009-15 (Real $2008)'!I37-'Data 2009-15 (Real $2008)'!I46)/10^3</f>
        <v>15009.573680214638</v>
      </c>
      <c r="J183" s="87">
        <f>('Data 2009-15 (Real $2008)'!J13-'Data 2009-15 (Real $2008)'!J37-'Data 2009-15 (Real $2008)'!J46)/10^3</f>
        <v>34810.673000548355</v>
      </c>
      <c r="K183" s="481"/>
      <c r="L183" s="481"/>
      <c r="M183" s="481"/>
      <c r="N183" s="481"/>
      <c r="O183" s="481"/>
      <c r="P183" s="481"/>
      <c r="Q183" s="481"/>
      <c r="R183" s="481"/>
      <c r="S183" s="481"/>
      <c r="T183" s="481"/>
      <c r="U183" s="481"/>
      <c r="V183" s="481"/>
      <c r="W183" s="481"/>
      <c r="X183" s="481"/>
      <c r="Y183" s="481"/>
      <c r="Z183" s="481"/>
      <c r="AA183" s="481"/>
    </row>
    <row r="184" spans="1:27" outlineLevel="1" x14ac:dyDescent="0.25">
      <c r="A184" s="84" t="s">
        <v>279</v>
      </c>
      <c r="D184" s="87">
        <f>('Data 2009-15 (Real $2008)'!D14-'Data 2009-15 (Real $2008)'!D38-'Data 2009-15 (Real $2008)'!D47)/10^3</f>
        <v>846.39541906306306</v>
      </c>
      <c r="E184" s="87">
        <f>('Data 2009-15 (Real $2008)'!E14-'Data 2009-15 (Real $2008)'!E38-'Data 2009-15 (Real $2008)'!E47)/10^3</f>
        <v>8237.4792122182698</v>
      </c>
      <c r="F184" s="87">
        <f>('Data 2009-15 (Real $2008)'!F14-'Data 2009-15 (Real $2008)'!F38-'Data 2009-15 (Real $2008)'!F47)/10^3</f>
        <v>8199.3950680438538</v>
      </c>
      <c r="G184" s="87">
        <f>('Data 2009-15 (Real $2008)'!G14-'Data 2009-15 (Real $2008)'!G38-'Data 2009-15 (Real $2008)'!G47)/10^3</f>
        <v>21954.545919275366</v>
      </c>
      <c r="H184" s="87">
        <f>('Data 2009-15 (Real $2008)'!H14-'Data 2009-15 (Real $2008)'!H38-'Data 2009-15 (Real $2008)'!H47)/10^3</f>
        <v>16309.185241853025</v>
      </c>
      <c r="I184" s="87">
        <f>('Data 2009-15 (Real $2008)'!I14-'Data 2009-15 (Real $2008)'!I38-'Data 2009-15 (Real $2008)'!I47)/10^3</f>
        <v>3798.7825618668885</v>
      </c>
      <c r="J184" s="87">
        <f>('Data 2009-15 (Real $2008)'!J14-'Data 2009-15 (Real $2008)'!J38-'Data 2009-15 (Real $2008)'!J47)/10^3</f>
        <v>7847.7410457597452</v>
      </c>
      <c r="K184" s="481"/>
      <c r="L184" s="481"/>
      <c r="M184" s="481"/>
      <c r="N184" s="481"/>
      <c r="O184" s="481"/>
      <c r="P184" s="481"/>
      <c r="Q184" s="481"/>
      <c r="R184" s="481"/>
      <c r="S184" s="481"/>
      <c r="T184" s="481"/>
      <c r="U184" s="481"/>
      <c r="V184" s="481"/>
      <c r="W184" s="481"/>
      <c r="X184" s="481"/>
      <c r="Y184" s="481"/>
      <c r="Z184" s="481"/>
      <c r="AA184" s="481"/>
    </row>
    <row r="185" spans="1:27" outlineLevel="1" x14ac:dyDescent="0.25">
      <c r="A185" s="318" t="s">
        <v>278</v>
      </c>
      <c r="D185" s="87">
        <f>('Data 2009-15 (Real $2008)'!D15-'Data 2009-15 (Real $2008)'!D39-'Data 2009-15 (Real $2008)'!D48)/10^3</f>
        <v>0</v>
      </c>
      <c r="E185" s="87">
        <f>('Data 2009-15 (Real $2008)'!E15-'Data 2009-15 (Real $2008)'!E39-'Data 2009-15 (Real $2008)'!E48)/10^3</f>
        <v>0</v>
      </c>
      <c r="F185" s="87">
        <f>('Data 2009-15 (Real $2008)'!F15-'Data 2009-15 (Real $2008)'!F39-'Data 2009-15 (Real $2008)'!F48)/10^3</f>
        <v>0</v>
      </c>
      <c r="G185" s="87">
        <f>('Data 2009-15 (Real $2008)'!G15-'Data 2009-15 (Real $2008)'!G39-'Data 2009-15 (Real $2008)'!G48)/10^3</f>
        <v>0</v>
      </c>
      <c r="H185" s="87">
        <f>('Data 2009-15 (Real $2008)'!H15-'Data 2009-15 (Real $2008)'!H39-'Data 2009-15 (Real $2008)'!H48)/10^3</f>
        <v>0</v>
      </c>
      <c r="I185" s="87">
        <f>('Data 2009-15 (Real $2008)'!I15-'Data 2009-15 (Real $2008)'!I39-'Data 2009-15 (Real $2008)'!I48)/10^3</f>
        <v>0</v>
      </c>
      <c r="J185" s="87">
        <f>('Data 2009-15 (Real $2008)'!J15-'Data 2009-15 (Real $2008)'!J39-'Data 2009-15 (Real $2008)'!J48)/10^3</f>
        <v>0</v>
      </c>
      <c r="K185" s="481"/>
      <c r="L185" s="481"/>
      <c r="M185" s="481"/>
      <c r="N185" s="481"/>
      <c r="O185" s="481"/>
      <c r="P185" s="481"/>
      <c r="Q185" s="481"/>
      <c r="R185" s="481"/>
      <c r="S185" s="481"/>
      <c r="T185" s="481"/>
      <c r="U185" s="481"/>
      <c r="V185" s="481"/>
      <c r="W185" s="481"/>
      <c r="X185" s="481"/>
      <c r="Y185" s="481"/>
      <c r="Z185" s="481"/>
      <c r="AA185" s="481"/>
    </row>
    <row r="186" spans="1:27" outlineLevel="1" x14ac:dyDescent="0.25">
      <c r="D186" s="109">
        <f t="shared" ref="D186:J186" si="64">SUM(D180:D185)</f>
        <v>36762.546886406148</v>
      </c>
      <c r="E186" s="109">
        <f t="shared" si="64"/>
        <v>83578.328159850847</v>
      </c>
      <c r="F186" s="109">
        <f t="shared" si="64"/>
        <v>103135.24279429039</v>
      </c>
      <c r="G186" s="109">
        <f t="shared" si="64"/>
        <v>124509.31198456895</v>
      </c>
      <c r="H186" s="109">
        <f t="shared" si="64"/>
        <v>106059.82221512144</v>
      </c>
      <c r="I186" s="109">
        <f t="shared" si="64"/>
        <v>51207.475138068156</v>
      </c>
      <c r="J186" s="109">
        <f t="shared" si="64"/>
        <v>47871.721693590545</v>
      </c>
      <c r="K186" s="481"/>
      <c r="L186" s="481"/>
      <c r="M186" s="481"/>
      <c r="N186" s="481"/>
      <c r="O186" s="481"/>
      <c r="P186" s="481"/>
      <c r="Q186" s="481"/>
      <c r="R186" s="481"/>
      <c r="S186" s="481"/>
      <c r="T186" s="481"/>
      <c r="U186" s="481"/>
      <c r="V186" s="481"/>
      <c r="W186" s="481"/>
      <c r="X186" s="481"/>
      <c r="Y186" s="481"/>
      <c r="Z186" s="481"/>
      <c r="AA186" s="481"/>
    </row>
    <row r="187" spans="1:27" outlineLevel="1" x14ac:dyDescent="0.25">
      <c r="J187" s="466"/>
    </row>
    <row r="188" spans="1:27" outlineLevel="1" x14ac:dyDescent="0.25">
      <c r="J188" s="466"/>
    </row>
    <row r="189" spans="1:27" outlineLevel="1" x14ac:dyDescent="0.25">
      <c r="A189" s="346" t="s">
        <v>42</v>
      </c>
      <c r="B189" s="473" t="s">
        <v>325</v>
      </c>
      <c r="C189" s="308" t="s">
        <v>7</v>
      </c>
      <c r="D189" s="468">
        <f>D$4</f>
        <v>2009</v>
      </c>
      <c r="E189" s="468">
        <f t="shared" ref="E189:AA189" si="65">E$4</f>
        <v>2010</v>
      </c>
      <c r="F189" s="468">
        <f t="shared" si="65"/>
        <v>2011</v>
      </c>
      <c r="G189" s="468">
        <f t="shared" si="65"/>
        <v>2012</v>
      </c>
      <c r="H189" s="468">
        <f t="shared" si="65"/>
        <v>2013</v>
      </c>
      <c r="I189" s="468">
        <f t="shared" si="65"/>
        <v>2014</v>
      </c>
      <c r="J189" s="468">
        <f t="shared" si="65"/>
        <v>2015</v>
      </c>
      <c r="K189" s="468">
        <f t="shared" si="65"/>
        <v>2016</v>
      </c>
      <c r="L189" s="468">
        <f t="shared" si="65"/>
        <v>2017</v>
      </c>
      <c r="M189" s="468">
        <f t="shared" si="65"/>
        <v>2018</v>
      </c>
      <c r="N189" s="468">
        <f t="shared" si="65"/>
        <v>2019</v>
      </c>
      <c r="O189" s="468">
        <f t="shared" si="65"/>
        <v>2020</v>
      </c>
      <c r="P189" s="468">
        <f t="shared" si="65"/>
        <v>2021</v>
      </c>
      <c r="Q189" s="468">
        <f t="shared" si="65"/>
        <v>2022</v>
      </c>
      <c r="R189" s="468">
        <f t="shared" si="65"/>
        <v>2023</v>
      </c>
      <c r="S189" s="468">
        <f t="shared" si="65"/>
        <v>2024</v>
      </c>
      <c r="T189" s="468">
        <f t="shared" si="65"/>
        <v>2025</v>
      </c>
      <c r="U189" s="468">
        <f t="shared" si="65"/>
        <v>2026</v>
      </c>
      <c r="V189" s="468">
        <f t="shared" si="65"/>
        <v>2027</v>
      </c>
      <c r="W189" s="468">
        <f t="shared" si="65"/>
        <v>2028</v>
      </c>
      <c r="X189" s="468">
        <f t="shared" si="65"/>
        <v>2029</v>
      </c>
      <c r="Y189" s="468">
        <f t="shared" si="65"/>
        <v>2030</v>
      </c>
      <c r="Z189" s="468">
        <f t="shared" si="65"/>
        <v>2031</v>
      </c>
      <c r="AA189" s="468">
        <f t="shared" si="65"/>
        <v>2032</v>
      </c>
    </row>
    <row r="190" spans="1:27" outlineLevel="1" x14ac:dyDescent="0.25">
      <c r="A190" s="346" t="str">
        <f>$A$4</f>
        <v>($000 Real 2008)</v>
      </c>
      <c r="B190" s="474" t="s">
        <v>326</v>
      </c>
      <c r="C190" s="475" t="s">
        <v>322</v>
      </c>
      <c r="D190" s="460"/>
      <c r="E190" s="460"/>
      <c r="F190" s="460"/>
      <c r="G190" s="460"/>
      <c r="H190" s="460"/>
      <c r="I190" s="460"/>
      <c r="J190" s="460"/>
      <c r="K190" s="460"/>
      <c r="L190" s="460"/>
      <c r="M190" s="460"/>
      <c r="N190" s="460"/>
      <c r="O190" s="460"/>
      <c r="P190" s="460"/>
      <c r="Q190" s="460"/>
      <c r="R190" s="460"/>
      <c r="S190" s="460"/>
      <c r="T190" s="460"/>
      <c r="U190" s="460"/>
      <c r="V190" s="460"/>
      <c r="W190" s="460"/>
      <c r="X190" s="460"/>
      <c r="Y190" s="460"/>
      <c r="Z190" s="460"/>
      <c r="AA190" s="460"/>
    </row>
    <row r="191" spans="1:27" outlineLevel="1" x14ac:dyDescent="0.25">
      <c r="A191" s="469">
        <v>2009</v>
      </c>
      <c r="B191" s="471">
        <f>D$180</f>
        <v>5374.6394694873497</v>
      </c>
      <c r="C191" s="467">
        <f>IF('Data 2006-08'!C$34&lt;=A191,1,'Data 2006-08'!C$34-A191+0.5)</f>
        <v>4.5</v>
      </c>
      <c r="D191" s="87">
        <f>IF($C191=1,$B191,$B191/2/$C191)</f>
        <v>597.18216327637219</v>
      </c>
      <c r="E191" s="87">
        <f>IF((SUM($D191:D191)+$B191/$C191)&gt;$B191,$B191-SUM($D191:D191),$B191/$C191)</f>
        <v>1194.3643265527444</v>
      </c>
      <c r="F191" s="87">
        <f>IF((SUM($D191:E191)+$B191/$C191)&gt;$B191,$B191-SUM($D191:E191),$B191/$C191)</f>
        <v>1194.3643265527444</v>
      </c>
      <c r="G191" s="87">
        <f>IF((SUM($D191:F191)+$B191/$C191)&gt;$B191,$B191-SUM($D191:F191),$B191/$C191)</f>
        <v>1194.3643265527444</v>
      </c>
      <c r="H191" s="87">
        <f>IF((SUM($D191:G191)+$B191/$C191)&gt;$B191,$B191-SUM($D191:G191),$B191/$C191)</f>
        <v>1194.3643265527444</v>
      </c>
      <c r="I191" s="87">
        <f>IF((SUM($D191:H191)+$B191/$C191)&gt;$B191,$B191-SUM($D191:H191),$B191/$C191)</f>
        <v>0</v>
      </c>
      <c r="J191" s="87">
        <f>IF((SUM($D191:I191)+$B191/$C191)&gt;$B191,$B191-SUM($D191:I191),$B191/$C191)</f>
        <v>0</v>
      </c>
      <c r="K191" s="87">
        <f>IF((SUM($D191:J191)+$B191/$C191)&gt;$B191,$B191-SUM($D191:J191),$B191/$C191)</f>
        <v>0</v>
      </c>
      <c r="L191" s="87">
        <f>IF((SUM($D191:K191)+$B191/$C191)&gt;$B191,$B191-SUM($D191:K191),$B191/$C191)</f>
        <v>0</v>
      </c>
      <c r="M191" s="87">
        <f>IF((SUM($D191:L191)+$B191/$C191)&gt;$B191,$B191-SUM($D191:L191),$B191/$C191)</f>
        <v>0</v>
      </c>
      <c r="N191" s="87">
        <f>IF((SUM($D191:M191)+$B191/$C191)&gt;$B191,$B191-SUM($D191:M191),$B191/$C191)</f>
        <v>0</v>
      </c>
      <c r="O191" s="87">
        <f>IF((SUM($D191:N191)+$B191/$C191)&gt;$B191,$B191-SUM($D191:N191),$B191/$C191)</f>
        <v>0</v>
      </c>
      <c r="P191" s="87">
        <f>IF((SUM($D191:O191)+$B191/$C191)&gt;$B191,$B191-SUM($D191:O191),$B191/$C191)</f>
        <v>0</v>
      </c>
      <c r="Q191" s="87">
        <f>IF((SUM($D191:P191)+$B191/$C191)&gt;$B191,$B191-SUM($D191:P191),$B191/$C191)</f>
        <v>0</v>
      </c>
      <c r="R191" s="87">
        <f>IF((SUM($D191:Q191)+$B191/$C191)&gt;$B191,$B191-SUM($D191:Q191),$B191/$C191)</f>
        <v>0</v>
      </c>
      <c r="S191" s="87">
        <f>IF((SUM($D191:R191)+$B191/$C191)&gt;$B191,$B191-SUM($D191:R191),$B191/$C191)</f>
        <v>0</v>
      </c>
      <c r="T191" s="87">
        <f>IF((SUM($D191:S191)+$B191/$C191)&gt;$B191,$B191-SUM($D191:S191),$B191/$C191)</f>
        <v>0</v>
      </c>
      <c r="U191" s="87">
        <f>IF((SUM($D191:T191)+$B191/$C191)&gt;$B191,$B191-SUM($D191:T191),$B191/$C191)</f>
        <v>0</v>
      </c>
      <c r="V191" s="87">
        <f>IF((SUM($D191:U191)+$B191/$C191)&gt;$B191,$B191-SUM($D191:U191),$B191/$C191)</f>
        <v>0</v>
      </c>
      <c r="W191" s="87">
        <f>IF((SUM($D191:V191)+$B191/$C191)&gt;$B191,$B191-SUM($D191:V191),$B191/$C191)</f>
        <v>0</v>
      </c>
      <c r="X191" s="87">
        <f>IF((SUM($D191:W191)+$B191/$C191)&gt;$B191,$B191-SUM($D191:W191),$B191/$C191)</f>
        <v>0</v>
      </c>
      <c r="Y191" s="87">
        <f>IF((SUM($D191:X191)+$B191/$C191)&gt;$B191,$B191-SUM($D191:X191),$B191/$C191)</f>
        <v>0</v>
      </c>
      <c r="Z191" s="87">
        <f>IF((SUM($D191:Y191)+$B191/$C191)&gt;$B191,$B191-SUM($D191:Y191),$B191/$C191)</f>
        <v>0</v>
      </c>
      <c r="AA191" s="87">
        <f>IF((SUM($D191:Z191)+$B191/$C191)&gt;$B191,$B191-SUM($D191:Z191),$B191/$C191)</f>
        <v>0</v>
      </c>
    </row>
    <row r="192" spans="1:27" outlineLevel="1" x14ac:dyDescent="0.25">
      <c r="A192" s="469">
        <v>2010</v>
      </c>
      <c r="B192" s="471">
        <f>E$180</f>
        <v>5330.5458062409389</v>
      </c>
      <c r="C192" s="467">
        <f>IF('Data 2006-08'!C$34&lt;=A192,1,'Data 2006-08'!C$34-A192+0.5)</f>
        <v>3.5</v>
      </c>
      <c r="D192" s="480"/>
      <c r="E192" s="87">
        <f>IF($C192=1,$B192,$B192/2/$C192)</f>
        <v>761.50654374870555</v>
      </c>
      <c r="F192" s="87">
        <f>IF((SUM($D192:E192)+$B192/$C192)&gt;$B192,$B192-SUM($D192:E192),$B192/$C192)</f>
        <v>1523.0130874974111</v>
      </c>
      <c r="G192" s="87">
        <f>IF((SUM($D192:F192)+$B192/$C192)&gt;$B192,$B192-SUM($D192:F192),$B192/$C192)</f>
        <v>1523.0130874974111</v>
      </c>
      <c r="H192" s="87">
        <f>IF((SUM($D192:G192)+$B192/$C192)&gt;$B192,$B192-SUM($D192:G192),$B192/$C192)</f>
        <v>1523.0130874974111</v>
      </c>
      <c r="I192" s="87">
        <f>IF((SUM($D192:H192)+$B192/$C192)&gt;$B192,$B192-SUM($D192:H192),$B192/$C192)</f>
        <v>0</v>
      </c>
      <c r="J192" s="87">
        <f>IF((SUM($D192:I192)+$B192/$C192)&gt;$B192,$B192-SUM($D192:I192),$B192/$C192)</f>
        <v>0</v>
      </c>
      <c r="K192" s="87">
        <f>IF((SUM($D192:J192)+$B192/$C192)&gt;$B192,$B192-SUM($D192:J192),$B192/$C192)</f>
        <v>0</v>
      </c>
      <c r="L192" s="87">
        <f>IF((SUM($D192:K192)+$B192/$C192)&gt;$B192,$B192-SUM($D192:K192),$B192/$C192)</f>
        <v>0</v>
      </c>
      <c r="M192" s="87">
        <f>IF((SUM($D192:L192)+$B192/$C192)&gt;$B192,$B192-SUM($D192:L192),$B192/$C192)</f>
        <v>0</v>
      </c>
      <c r="N192" s="87">
        <f>IF((SUM($D192:M192)+$B192/$C192)&gt;$B192,$B192-SUM($D192:M192),$B192/$C192)</f>
        <v>0</v>
      </c>
      <c r="O192" s="87">
        <f>IF((SUM($D192:N192)+$B192/$C192)&gt;$B192,$B192-SUM($D192:N192),$B192/$C192)</f>
        <v>0</v>
      </c>
      <c r="P192" s="87">
        <f>IF((SUM($D192:O192)+$B192/$C192)&gt;$B192,$B192-SUM($D192:O192),$B192/$C192)</f>
        <v>0</v>
      </c>
      <c r="Q192" s="87">
        <f>IF((SUM($D192:P192)+$B192/$C192)&gt;$B192,$B192-SUM($D192:P192),$B192/$C192)</f>
        <v>0</v>
      </c>
      <c r="R192" s="87">
        <f>IF((SUM($D192:Q192)+$B192/$C192)&gt;$B192,$B192-SUM($D192:Q192),$B192/$C192)</f>
        <v>0</v>
      </c>
      <c r="S192" s="87">
        <f>IF((SUM($D192:R192)+$B192/$C192)&gt;$B192,$B192-SUM($D192:R192),$B192/$C192)</f>
        <v>0</v>
      </c>
      <c r="T192" s="87">
        <f>IF((SUM($D192:S192)+$B192/$C192)&gt;$B192,$B192-SUM($D192:S192),$B192/$C192)</f>
        <v>0</v>
      </c>
      <c r="U192" s="87">
        <f>IF((SUM($D192:T192)+$B192/$C192)&gt;$B192,$B192-SUM($D192:T192),$B192/$C192)</f>
        <v>0</v>
      </c>
      <c r="V192" s="87">
        <f>IF((SUM($D192:U192)+$B192/$C192)&gt;$B192,$B192-SUM($D192:U192),$B192/$C192)</f>
        <v>0</v>
      </c>
      <c r="W192" s="87">
        <f>IF((SUM($D192:V192)+$B192/$C192)&gt;$B192,$B192-SUM($D192:V192),$B192/$C192)</f>
        <v>0</v>
      </c>
      <c r="X192" s="87">
        <f>IF((SUM($D192:W192)+$B192/$C192)&gt;$B192,$B192-SUM($D192:W192),$B192/$C192)</f>
        <v>0</v>
      </c>
      <c r="Y192" s="87">
        <f>IF((SUM($D192:X192)+$B192/$C192)&gt;$B192,$B192-SUM($D192:X192),$B192/$C192)</f>
        <v>0</v>
      </c>
      <c r="Z192" s="87">
        <f>IF((SUM($D192:Y192)+$B192/$C192)&gt;$B192,$B192-SUM($D192:Y192),$B192/$C192)</f>
        <v>0</v>
      </c>
      <c r="AA192" s="87">
        <f>IF((SUM($D192:Z192)+$B192/$C192)&gt;$B192,$B192-SUM($D192:Z192),$B192/$C192)</f>
        <v>0</v>
      </c>
    </row>
    <row r="193" spans="1:27" outlineLevel="1" x14ac:dyDescent="0.25">
      <c r="A193" s="469">
        <v>2011</v>
      </c>
      <c r="B193" s="471">
        <f>F$180</f>
        <v>223.30294287362955</v>
      </c>
      <c r="C193" s="467">
        <f>IF('Data 2006-08'!C$34&lt;=A193,1,'Data 2006-08'!C$34-A193+0.5)</f>
        <v>2.5</v>
      </c>
      <c r="D193" s="480"/>
      <c r="E193" s="480"/>
      <c r="F193" s="87">
        <f>IF($C193=1,$B193,$B193/2/$C193)</f>
        <v>44.660588574725907</v>
      </c>
      <c r="G193" s="87">
        <f>IF((SUM($D193:F193)+$B193/$C193)&gt;$B193,$B193-SUM($D193:F193),$B193/$C193)</f>
        <v>89.321177149451813</v>
      </c>
      <c r="H193" s="87">
        <f>IF((SUM($D193:G193)+$B193/$C193)&gt;$B193,$B193-SUM($D193:G193),$B193/$C193)</f>
        <v>89.321177149451813</v>
      </c>
      <c r="I193" s="87">
        <f>IF((SUM($D193:H193)+$B193/$C193)&gt;$B193,$B193-SUM($D193:H193),$B193/$C193)</f>
        <v>2.8421709430404007E-14</v>
      </c>
      <c r="J193" s="87">
        <f>IF((SUM($D193:I193)+$B193/$C193)&gt;$B193,$B193-SUM($D193:I193),$B193/$C193)</f>
        <v>0</v>
      </c>
      <c r="K193" s="87">
        <f>IF((SUM($D193:J193)+$B193/$C193)&gt;$B193,$B193-SUM($D193:J193),$B193/$C193)</f>
        <v>0</v>
      </c>
      <c r="L193" s="87">
        <f>IF((SUM($D193:K193)+$B193/$C193)&gt;$B193,$B193-SUM($D193:K193),$B193/$C193)</f>
        <v>0</v>
      </c>
      <c r="M193" s="87">
        <f>IF((SUM($D193:L193)+$B193/$C193)&gt;$B193,$B193-SUM($D193:L193),$B193/$C193)</f>
        <v>0</v>
      </c>
      <c r="N193" s="87">
        <f>IF((SUM($D193:M193)+$B193/$C193)&gt;$B193,$B193-SUM($D193:M193),$B193/$C193)</f>
        <v>0</v>
      </c>
      <c r="O193" s="87">
        <f>IF((SUM($D193:N193)+$B193/$C193)&gt;$B193,$B193-SUM($D193:N193),$B193/$C193)</f>
        <v>0</v>
      </c>
      <c r="P193" s="87">
        <f>IF((SUM($D193:O193)+$B193/$C193)&gt;$B193,$B193-SUM($D193:O193),$B193/$C193)</f>
        <v>0</v>
      </c>
      <c r="Q193" s="87">
        <f>IF((SUM($D193:P193)+$B193/$C193)&gt;$B193,$B193-SUM($D193:P193),$B193/$C193)</f>
        <v>0</v>
      </c>
      <c r="R193" s="87">
        <f>IF((SUM($D193:Q193)+$B193/$C193)&gt;$B193,$B193-SUM($D193:Q193),$B193/$C193)</f>
        <v>0</v>
      </c>
      <c r="S193" s="87">
        <f>IF((SUM($D193:R193)+$B193/$C193)&gt;$B193,$B193-SUM($D193:R193),$B193/$C193)</f>
        <v>0</v>
      </c>
      <c r="T193" s="87">
        <f>IF((SUM($D193:S193)+$B193/$C193)&gt;$B193,$B193-SUM($D193:S193),$B193/$C193)</f>
        <v>0</v>
      </c>
      <c r="U193" s="87">
        <f>IF((SUM($D193:T193)+$B193/$C193)&gt;$B193,$B193-SUM($D193:T193),$B193/$C193)</f>
        <v>0</v>
      </c>
      <c r="V193" s="87">
        <f>IF((SUM($D193:U193)+$B193/$C193)&gt;$B193,$B193-SUM($D193:U193),$B193/$C193)</f>
        <v>0</v>
      </c>
      <c r="W193" s="87">
        <f>IF((SUM($D193:V193)+$B193/$C193)&gt;$B193,$B193-SUM($D193:V193),$B193/$C193)</f>
        <v>0</v>
      </c>
      <c r="X193" s="87">
        <f>IF((SUM($D193:W193)+$B193/$C193)&gt;$B193,$B193-SUM($D193:W193),$B193/$C193)</f>
        <v>0</v>
      </c>
      <c r="Y193" s="87">
        <f>IF((SUM($D193:X193)+$B193/$C193)&gt;$B193,$B193-SUM($D193:X193),$B193/$C193)</f>
        <v>0</v>
      </c>
      <c r="Z193" s="87">
        <f>IF((SUM($D193:Y193)+$B193/$C193)&gt;$B193,$B193-SUM($D193:Y193),$B193/$C193)</f>
        <v>0</v>
      </c>
      <c r="AA193" s="87">
        <f>IF((SUM($D193:Z193)+$B193/$C193)&gt;$B193,$B193-SUM($D193:Z193),$B193/$C193)</f>
        <v>0</v>
      </c>
    </row>
    <row r="194" spans="1:27" outlineLevel="1" x14ac:dyDescent="0.25">
      <c r="A194" s="469">
        <v>2012</v>
      </c>
      <c r="B194" s="471">
        <f>G$180</f>
        <v>595.94863909495484</v>
      </c>
      <c r="C194" s="467">
        <f>IF('Data 2006-08'!C$34&lt;=A194,1,'Data 2006-08'!C$34-A194+0.5)</f>
        <v>1.5</v>
      </c>
      <c r="D194" s="480"/>
      <c r="E194" s="480"/>
      <c r="F194" s="480"/>
      <c r="G194" s="87">
        <f>IF($C194=1,$B194,$B194/2/$C194)</f>
        <v>198.64954636498496</v>
      </c>
      <c r="H194" s="87">
        <f>IF((SUM($D194:G194)+$B194/$C194)&gt;$B194,$B194-SUM($D194:G194),$B194/$C194)</f>
        <v>397.29909272996991</v>
      </c>
      <c r="I194" s="87">
        <f>IF((SUM($D194:H194)+$B194/$C194)&gt;$B194,$B194-SUM($D194:H194),$B194/$C194)</f>
        <v>0</v>
      </c>
      <c r="J194" s="87">
        <f>IF((SUM($D194:I194)+$B194/$C194)&gt;$B194,$B194-SUM($D194:I194),$B194/$C194)</f>
        <v>0</v>
      </c>
      <c r="K194" s="87">
        <f>IF((SUM($D194:J194)+$B194/$C194)&gt;$B194,$B194-SUM($D194:J194),$B194/$C194)</f>
        <v>0</v>
      </c>
      <c r="L194" s="87">
        <f>IF((SUM($D194:K194)+$B194/$C194)&gt;$B194,$B194-SUM($D194:K194),$B194/$C194)</f>
        <v>0</v>
      </c>
      <c r="M194" s="87">
        <f>IF((SUM($D194:L194)+$B194/$C194)&gt;$B194,$B194-SUM($D194:L194),$B194/$C194)</f>
        <v>0</v>
      </c>
      <c r="N194" s="87">
        <f>IF((SUM($D194:M194)+$B194/$C194)&gt;$B194,$B194-SUM($D194:M194),$B194/$C194)</f>
        <v>0</v>
      </c>
      <c r="O194" s="87">
        <f>IF((SUM($D194:N194)+$B194/$C194)&gt;$B194,$B194-SUM($D194:N194),$B194/$C194)</f>
        <v>0</v>
      </c>
      <c r="P194" s="87">
        <f>IF((SUM($D194:O194)+$B194/$C194)&gt;$B194,$B194-SUM($D194:O194),$B194/$C194)</f>
        <v>0</v>
      </c>
      <c r="Q194" s="87">
        <f>IF((SUM($D194:P194)+$B194/$C194)&gt;$B194,$B194-SUM($D194:P194),$B194/$C194)</f>
        <v>0</v>
      </c>
      <c r="R194" s="87">
        <f>IF((SUM($D194:Q194)+$B194/$C194)&gt;$B194,$B194-SUM($D194:Q194),$B194/$C194)</f>
        <v>0</v>
      </c>
      <c r="S194" s="87">
        <f>IF((SUM($D194:R194)+$B194/$C194)&gt;$B194,$B194-SUM($D194:R194),$B194/$C194)</f>
        <v>0</v>
      </c>
      <c r="T194" s="87">
        <f>IF((SUM($D194:S194)+$B194/$C194)&gt;$B194,$B194-SUM($D194:S194),$B194/$C194)</f>
        <v>0</v>
      </c>
      <c r="U194" s="87">
        <f>IF((SUM($D194:T194)+$B194/$C194)&gt;$B194,$B194-SUM($D194:T194),$B194/$C194)</f>
        <v>0</v>
      </c>
      <c r="V194" s="87">
        <f>IF((SUM($D194:U194)+$B194/$C194)&gt;$B194,$B194-SUM($D194:U194),$B194/$C194)</f>
        <v>0</v>
      </c>
      <c r="W194" s="87">
        <f>IF((SUM($D194:V194)+$B194/$C194)&gt;$B194,$B194-SUM($D194:V194),$B194/$C194)</f>
        <v>0</v>
      </c>
      <c r="X194" s="87">
        <f>IF((SUM($D194:W194)+$B194/$C194)&gt;$B194,$B194-SUM($D194:W194),$B194/$C194)</f>
        <v>0</v>
      </c>
      <c r="Y194" s="87">
        <f>IF((SUM($D194:X194)+$B194/$C194)&gt;$B194,$B194-SUM($D194:X194),$B194/$C194)</f>
        <v>0</v>
      </c>
      <c r="Z194" s="87">
        <f>IF((SUM($D194:Y194)+$B194/$C194)&gt;$B194,$B194-SUM($D194:Y194),$B194/$C194)</f>
        <v>0</v>
      </c>
      <c r="AA194" s="87">
        <f>IF((SUM($D194:Z194)+$B194/$C194)&gt;$B194,$B194-SUM($D194:Z194),$B194/$C194)</f>
        <v>0</v>
      </c>
    </row>
    <row r="195" spans="1:27" outlineLevel="1" x14ac:dyDescent="0.25">
      <c r="A195" s="469">
        <v>2013</v>
      </c>
      <c r="B195" s="471">
        <f>H$180</f>
        <v>0</v>
      </c>
      <c r="C195" s="467">
        <f>IF('Data 2006-08'!C$34&lt;=A195,1,'Data 2006-08'!C$34-A195+0.5)</f>
        <v>1</v>
      </c>
      <c r="D195" s="480"/>
      <c r="E195" s="480"/>
      <c r="F195" s="480"/>
      <c r="G195" s="480"/>
      <c r="H195" s="87">
        <f>IF($C195=1,$B195,$B195/2/$C195)</f>
        <v>0</v>
      </c>
      <c r="I195" s="87">
        <f>IF((SUM($D195:H195)+$B195/$C195)&gt;$B195,$B195-SUM($D195:H195),$B195/$C195)</f>
        <v>0</v>
      </c>
      <c r="J195" s="87">
        <f>IF((SUM($D195:I195)+$B195/$C195)&gt;$B195,$B195-SUM($D195:I195),$B195/$C195)</f>
        <v>0</v>
      </c>
      <c r="K195" s="87">
        <f>IF((SUM($D195:J195)+$B195/$C195)&gt;$B195,$B195-SUM($D195:J195),$B195/$C195)</f>
        <v>0</v>
      </c>
      <c r="L195" s="87">
        <f>IF((SUM($D195:K195)+$B195/$C195)&gt;$B195,$B195-SUM($D195:K195),$B195/$C195)</f>
        <v>0</v>
      </c>
      <c r="M195" s="87">
        <f>IF((SUM($D195:L195)+$B195/$C195)&gt;$B195,$B195-SUM($D195:L195),$B195/$C195)</f>
        <v>0</v>
      </c>
      <c r="N195" s="87">
        <f>IF((SUM($D195:M195)+$B195/$C195)&gt;$B195,$B195-SUM($D195:M195),$B195/$C195)</f>
        <v>0</v>
      </c>
      <c r="O195" s="87">
        <f>IF((SUM($D195:N195)+$B195/$C195)&gt;$B195,$B195-SUM($D195:N195),$B195/$C195)</f>
        <v>0</v>
      </c>
      <c r="P195" s="87">
        <f>IF((SUM($D195:O195)+$B195/$C195)&gt;$B195,$B195-SUM($D195:O195),$B195/$C195)</f>
        <v>0</v>
      </c>
      <c r="Q195" s="87">
        <f>IF((SUM($D195:P195)+$B195/$C195)&gt;$B195,$B195-SUM($D195:P195),$B195/$C195)</f>
        <v>0</v>
      </c>
      <c r="R195" s="87">
        <f>IF((SUM($D195:Q195)+$B195/$C195)&gt;$B195,$B195-SUM($D195:Q195),$B195/$C195)</f>
        <v>0</v>
      </c>
      <c r="S195" s="87">
        <f>IF((SUM($D195:R195)+$B195/$C195)&gt;$B195,$B195-SUM($D195:R195),$B195/$C195)</f>
        <v>0</v>
      </c>
      <c r="T195" s="87">
        <f>IF((SUM($D195:S195)+$B195/$C195)&gt;$B195,$B195-SUM($D195:S195),$B195/$C195)</f>
        <v>0</v>
      </c>
      <c r="U195" s="87">
        <f>IF((SUM($D195:T195)+$B195/$C195)&gt;$B195,$B195-SUM($D195:T195),$B195/$C195)</f>
        <v>0</v>
      </c>
      <c r="V195" s="87">
        <f>IF((SUM($D195:U195)+$B195/$C195)&gt;$B195,$B195-SUM($D195:U195),$B195/$C195)</f>
        <v>0</v>
      </c>
      <c r="W195" s="87">
        <f>IF((SUM($D195:V195)+$B195/$C195)&gt;$B195,$B195-SUM($D195:V195),$B195/$C195)</f>
        <v>0</v>
      </c>
      <c r="X195" s="87">
        <f>IF((SUM($D195:W195)+$B195/$C195)&gt;$B195,$B195-SUM($D195:W195),$B195/$C195)</f>
        <v>0</v>
      </c>
      <c r="Y195" s="87">
        <f>IF((SUM($D195:X195)+$B195/$C195)&gt;$B195,$B195-SUM($D195:X195),$B195/$C195)</f>
        <v>0</v>
      </c>
      <c r="Z195" s="87">
        <f>IF((SUM($D195:Y195)+$B195/$C195)&gt;$B195,$B195-SUM($D195:Y195),$B195/$C195)</f>
        <v>0</v>
      </c>
      <c r="AA195" s="87">
        <f>IF((SUM($D195:Z195)+$B195/$C195)&gt;$B195,$B195-SUM($D195:Z195),$B195/$C195)</f>
        <v>0</v>
      </c>
    </row>
    <row r="196" spans="1:27" outlineLevel="1" x14ac:dyDescent="0.25">
      <c r="A196" s="469">
        <v>2014</v>
      </c>
      <c r="B196" s="471">
        <f>I$180</f>
        <v>0</v>
      </c>
      <c r="C196" s="467">
        <f>IF('Data 2006-08'!C$34&lt;=A196,1,'Data 2006-08'!C$34-A196+0.5)</f>
        <v>1</v>
      </c>
      <c r="D196" s="480"/>
      <c r="E196" s="480"/>
      <c r="F196" s="480"/>
      <c r="G196" s="480"/>
      <c r="H196" s="480"/>
      <c r="I196" s="87">
        <f>IF($C196=1,$B196,$B196/2/$C196)</f>
        <v>0</v>
      </c>
      <c r="J196" s="87">
        <f>IF((SUM($D196:I196)+$B196/$C196)&gt;$B196,$B196-SUM($D196:I196),$B196/$C196)</f>
        <v>0</v>
      </c>
      <c r="K196" s="87">
        <f>IF((SUM($D196:J196)+$B196/$C196)&gt;$B196,$B196-SUM($D196:J196),$B196/$C196)</f>
        <v>0</v>
      </c>
      <c r="L196" s="87">
        <f>IF((SUM($D196:K196)+$B196/$C196)&gt;$B196,$B196-SUM($D196:K196),$B196/$C196)</f>
        <v>0</v>
      </c>
      <c r="M196" s="87">
        <f>IF((SUM($D196:L196)+$B196/$C196)&gt;$B196,$B196-SUM($D196:L196),$B196/$C196)</f>
        <v>0</v>
      </c>
      <c r="N196" s="87">
        <f>IF((SUM($D196:M196)+$B196/$C196)&gt;$B196,$B196-SUM($D196:M196),$B196/$C196)</f>
        <v>0</v>
      </c>
      <c r="O196" s="87">
        <f>IF((SUM($D196:N196)+$B196/$C196)&gt;$B196,$B196-SUM($D196:N196),$B196/$C196)</f>
        <v>0</v>
      </c>
      <c r="P196" s="87">
        <f>IF((SUM($D196:O196)+$B196/$C196)&gt;$B196,$B196-SUM($D196:O196),$B196/$C196)</f>
        <v>0</v>
      </c>
      <c r="Q196" s="87">
        <f>IF((SUM($D196:P196)+$B196/$C196)&gt;$B196,$B196-SUM($D196:P196),$B196/$C196)</f>
        <v>0</v>
      </c>
      <c r="R196" s="87">
        <f>IF((SUM($D196:Q196)+$B196/$C196)&gt;$B196,$B196-SUM($D196:Q196),$B196/$C196)</f>
        <v>0</v>
      </c>
      <c r="S196" s="87">
        <f>IF((SUM($D196:R196)+$B196/$C196)&gt;$B196,$B196-SUM($D196:R196),$B196/$C196)</f>
        <v>0</v>
      </c>
      <c r="T196" s="87">
        <f>IF((SUM($D196:S196)+$B196/$C196)&gt;$B196,$B196-SUM($D196:S196),$B196/$C196)</f>
        <v>0</v>
      </c>
      <c r="U196" s="87">
        <f>IF((SUM($D196:T196)+$B196/$C196)&gt;$B196,$B196-SUM($D196:T196),$B196/$C196)</f>
        <v>0</v>
      </c>
      <c r="V196" s="87">
        <f>IF((SUM($D196:U196)+$B196/$C196)&gt;$B196,$B196-SUM($D196:U196),$B196/$C196)</f>
        <v>0</v>
      </c>
      <c r="W196" s="87">
        <f>IF((SUM($D196:V196)+$B196/$C196)&gt;$B196,$B196-SUM($D196:V196),$B196/$C196)</f>
        <v>0</v>
      </c>
      <c r="X196" s="87">
        <f>IF((SUM($D196:W196)+$B196/$C196)&gt;$B196,$B196-SUM($D196:W196),$B196/$C196)</f>
        <v>0</v>
      </c>
      <c r="Y196" s="87">
        <f>IF((SUM($D196:X196)+$B196/$C196)&gt;$B196,$B196-SUM($D196:X196),$B196/$C196)</f>
        <v>0</v>
      </c>
      <c r="Z196" s="87">
        <f>IF((SUM($D196:Y196)+$B196/$C196)&gt;$B196,$B196-SUM($D196:Y196),$B196/$C196)</f>
        <v>0</v>
      </c>
      <c r="AA196" s="87">
        <f>IF((SUM($D196:Z196)+$B196/$C196)&gt;$B196,$B196-SUM($D196:Z196),$B196/$C196)</f>
        <v>0</v>
      </c>
    </row>
    <row r="197" spans="1:27" outlineLevel="1" x14ac:dyDescent="0.25">
      <c r="A197" s="469">
        <v>2015</v>
      </c>
      <c r="B197" s="471">
        <f>J$180</f>
        <v>0</v>
      </c>
      <c r="C197" s="467">
        <f>IF('Data 2006-08'!C$34&lt;=A197,1,'Data 2006-08'!C$34-A197+0.5)</f>
        <v>1</v>
      </c>
      <c r="D197" s="480"/>
      <c r="E197" s="480"/>
      <c r="F197" s="480"/>
      <c r="G197" s="480"/>
      <c r="H197" s="480"/>
      <c r="I197" s="480"/>
      <c r="J197" s="87">
        <f>IF($C197=1,$B197,$B197/2/$C197)</f>
        <v>0</v>
      </c>
      <c r="K197" s="87">
        <f>IF((SUM($D197:J197)+$B197/$C197)&gt;$B197,$B197-SUM($D197:J197),$B197/$C197)</f>
        <v>0</v>
      </c>
      <c r="L197" s="87">
        <f>IF((SUM($D197:K197)+$B197/$C197)&gt;$B197,$B197-SUM($D197:K197),$B197/$C197)</f>
        <v>0</v>
      </c>
      <c r="M197" s="87">
        <f>IF((SUM($D197:L197)+$B197/$C197)&gt;$B197,$B197-SUM($D197:L197),$B197/$C197)</f>
        <v>0</v>
      </c>
      <c r="N197" s="87">
        <f>IF((SUM($D197:M197)+$B197/$C197)&gt;$B197,$B197-SUM($D197:M197),$B197/$C197)</f>
        <v>0</v>
      </c>
      <c r="O197" s="87">
        <f>IF((SUM($D197:N197)+$B197/$C197)&gt;$B197,$B197-SUM($D197:N197),$B197/$C197)</f>
        <v>0</v>
      </c>
      <c r="P197" s="87">
        <f>IF((SUM($D197:O197)+$B197/$C197)&gt;$B197,$B197-SUM($D197:O197),$B197/$C197)</f>
        <v>0</v>
      </c>
      <c r="Q197" s="87">
        <f>IF((SUM($D197:P197)+$B197/$C197)&gt;$B197,$B197-SUM($D197:P197),$B197/$C197)</f>
        <v>0</v>
      </c>
      <c r="R197" s="87">
        <f>IF((SUM($D197:Q197)+$B197/$C197)&gt;$B197,$B197-SUM($D197:Q197),$B197/$C197)</f>
        <v>0</v>
      </c>
      <c r="S197" s="87">
        <f>IF((SUM($D197:R197)+$B197/$C197)&gt;$B197,$B197-SUM($D197:R197),$B197/$C197)</f>
        <v>0</v>
      </c>
      <c r="T197" s="87">
        <f>IF((SUM($D197:S197)+$B197/$C197)&gt;$B197,$B197-SUM($D197:S197),$B197/$C197)</f>
        <v>0</v>
      </c>
      <c r="U197" s="87">
        <f>IF((SUM($D197:T197)+$B197/$C197)&gt;$B197,$B197-SUM($D197:T197),$B197/$C197)</f>
        <v>0</v>
      </c>
      <c r="V197" s="87">
        <f>IF((SUM($D197:U197)+$B197/$C197)&gt;$B197,$B197-SUM($D197:U197),$B197/$C197)</f>
        <v>0</v>
      </c>
      <c r="W197" s="87">
        <f>IF((SUM($D197:V197)+$B197/$C197)&gt;$B197,$B197-SUM($D197:V197),$B197/$C197)</f>
        <v>0</v>
      </c>
      <c r="X197" s="87">
        <f>IF((SUM($D197:W197)+$B197/$C197)&gt;$B197,$B197-SUM($D197:W197),$B197/$C197)</f>
        <v>0</v>
      </c>
      <c r="Y197" s="87">
        <f>IF((SUM($D197:X197)+$B197/$C197)&gt;$B197,$B197-SUM($D197:X197),$B197/$C197)</f>
        <v>0</v>
      </c>
      <c r="Z197" s="87">
        <f>IF((SUM($D197:Y197)+$B197/$C197)&gt;$B197,$B197-SUM($D197:Y197),$B197/$C197)</f>
        <v>0</v>
      </c>
      <c r="AA197" s="87">
        <f>IF((SUM($D197:Z197)+$B197/$C197)&gt;$B197,$B197-SUM($D197:Z197),$B197/$C197)</f>
        <v>0</v>
      </c>
    </row>
    <row r="198" spans="1:27" s="469" customFormat="1" outlineLevel="1" x14ac:dyDescent="0.25">
      <c r="B198" s="472">
        <f>SUM(B191:B197)</f>
        <v>11524.436857696874</v>
      </c>
      <c r="D198" s="697">
        <f t="shared" ref="D198:AA198" si="66">SUM(D191:D197)</f>
        <v>597.18216327637219</v>
      </c>
      <c r="E198" s="697">
        <f t="shared" si="66"/>
        <v>1955.8708703014499</v>
      </c>
      <c r="F198" s="697">
        <f t="shared" si="66"/>
        <v>2762.0380026248813</v>
      </c>
      <c r="G198" s="697">
        <f t="shared" si="66"/>
        <v>3005.348137564592</v>
      </c>
      <c r="H198" s="697">
        <f t="shared" si="66"/>
        <v>3203.9976839295769</v>
      </c>
      <c r="I198" s="697">
        <f t="shared" si="66"/>
        <v>2.8421709430404007E-14</v>
      </c>
      <c r="J198" s="697">
        <f t="shared" si="66"/>
        <v>0</v>
      </c>
      <c r="K198" s="697">
        <f t="shared" si="66"/>
        <v>0</v>
      </c>
      <c r="L198" s="697">
        <f t="shared" si="66"/>
        <v>0</v>
      </c>
      <c r="M198" s="697">
        <f t="shared" si="66"/>
        <v>0</v>
      </c>
      <c r="N198" s="697">
        <f t="shared" si="66"/>
        <v>0</v>
      </c>
      <c r="O198" s="697">
        <f t="shared" si="66"/>
        <v>0</v>
      </c>
      <c r="P198" s="697">
        <f t="shared" si="66"/>
        <v>0</v>
      </c>
      <c r="Q198" s="697">
        <f t="shared" si="66"/>
        <v>0</v>
      </c>
      <c r="R198" s="697">
        <f t="shared" si="66"/>
        <v>0</v>
      </c>
      <c r="S198" s="697">
        <f t="shared" si="66"/>
        <v>0</v>
      </c>
      <c r="T198" s="697">
        <f t="shared" si="66"/>
        <v>0</v>
      </c>
      <c r="U198" s="697">
        <f t="shared" si="66"/>
        <v>0</v>
      </c>
      <c r="V198" s="697">
        <f t="shared" si="66"/>
        <v>0</v>
      </c>
      <c r="W198" s="697">
        <f t="shared" si="66"/>
        <v>0</v>
      </c>
      <c r="X198" s="697">
        <f t="shared" si="66"/>
        <v>0</v>
      </c>
      <c r="Y198" s="697">
        <f t="shared" si="66"/>
        <v>0</v>
      </c>
      <c r="Z198" s="697">
        <f t="shared" si="66"/>
        <v>0</v>
      </c>
      <c r="AA198" s="697">
        <f t="shared" si="66"/>
        <v>0</v>
      </c>
    </row>
    <row r="199" spans="1:27" outlineLevel="1" x14ac:dyDescent="0.25">
      <c r="A199" s="85"/>
      <c r="B199" s="85"/>
      <c r="C199" s="85"/>
      <c r="D199" s="85"/>
      <c r="F199" s="91"/>
      <c r="G199" s="85"/>
      <c r="H199" s="85"/>
      <c r="I199" s="85"/>
      <c r="J199" s="466"/>
    </row>
    <row r="200" spans="1:27" outlineLevel="1" x14ac:dyDescent="0.25">
      <c r="A200" s="85"/>
      <c r="B200" s="85"/>
      <c r="C200" s="85"/>
      <c r="D200" s="85"/>
      <c r="F200" s="91"/>
      <c r="G200" s="85"/>
      <c r="H200" s="85"/>
      <c r="I200" s="85"/>
      <c r="J200" s="466"/>
    </row>
    <row r="201" spans="1:27" outlineLevel="1" x14ac:dyDescent="0.25">
      <c r="A201" s="346" t="s">
        <v>260</v>
      </c>
      <c r="B201" s="473" t="s">
        <v>325</v>
      </c>
      <c r="C201" s="308" t="s">
        <v>7</v>
      </c>
      <c r="D201" s="468">
        <f>D$4</f>
        <v>2009</v>
      </c>
      <c r="E201" s="468">
        <f t="shared" ref="E201:AA201" si="67">E$4</f>
        <v>2010</v>
      </c>
      <c r="F201" s="468">
        <f t="shared" si="67"/>
        <v>2011</v>
      </c>
      <c r="G201" s="468">
        <f t="shared" si="67"/>
        <v>2012</v>
      </c>
      <c r="H201" s="468">
        <f t="shared" si="67"/>
        <v>2013</v>
      </c>
      <c r="I201" s="468">
        <f t="shared" si="67"/>
        <v>2014</v>
      </c>
      <c r="J201" s="468">
        <f t="shared" si="67"/>
        <v>2015</v>
      </c>
      <c r="K201" s="468">
        <f t="shared" si="67"/>
        <v>2016</v>
      </c>
      <c r="L201" s="468">
        <f t="shared" si="67"/>
        <v>2017</v>
      </c>
      <c r="M201" s="468">
        <f t="shared" si="67"/>
        <v>2018</v>
      </c>
      <c r="N201" s="468">
        <f t="shared" si="67"/>
        <v>2019</v>
      </c>
      <c r="O201" s="468">
        <f t="shared" si="67"/>
        <v>2020</v>
      </c>
      <c r="P201" s="468">
        <f t="shared" si="67"/>
        <v>2021</v>
      </c>
      <c r="Q201" s="468">
        <f t="shared" si="67"/>
        <v>2022</v>
      </c>
      <c r="R201" s="468">
        <f t="shared" si="67"/>
        <v>2023</v>
      </c>
      <c r="S201" s="468">
        <f t="shared" si="67"/>
        <v>2024</v>
      </c>
      <c r="T201" s="468">
        <f t="shared" si="67"/>
        <v>2025</v>
      </c>
      <c r="U201" s="468">
        <f t="shared" si="67"/>
        <v>2026</v>
      </c>
      <c r="V201" s="468">
        <f t="shared" si="67"/>
        <v>2027</v>
      </c>
      <c r="W201" s="468">
        <f t="shared" si="67"/>
        <v>2028</v>
      </c>
      <c r="X201" s="468">
        <f t="shared" si="67"/>
        <v>2029</v>
      </c>
      <c r="Y201" s="468">
        <f t="shared" si="67"/>
        <v>2030</v>
      </c>
      <c r="Z201" s="468">
        <f t="shared" si="67"/>
        <v>2031</v>
      </c>
      <c r="AA201" s="468">
        <f t="shared" si="67"/>
        <v>2032</v>
      </c>
    </row>
    <row r="202" spans="1:27" outlineLevel="1" x14ac:dyDescent="0.25">
      <c r="A202" s="346" t="str">
        <f>$A$4</f>
        <v>($000 Real 2008)</v>
      </c>
      <c r="B202" s="474" t="s">
        <v>326</v>
      </c>
      <c r="C202" s="475" t="s">
        <v>322</v>
      </c>
      <c r="D202" s="460"/>
      <c r="E202" s="460"/>
      <c r="F202" s="460"/>
      <c r="G202" s="460"/>
      <c r="H202" s="460"/>
      <c r="I202" s="460"/>
      <c r="J202" s="460"/>
      <c r="K202" s="460"/>
      <c r="L202" s="460"/>
      <c r="M202" s="460"/>
      <c r="N202" s="460"/>
      <c r="O202" s="460"/>
      <c r="P202" s="460"/>
      <c r="Q202" s="460"/>
      <c r="R202" s="460"/>
      <c r="S202" s="460"/>
      <c r="T202" s="460"/>
      <c r="U202" s="460"/>
      <c r="V202" s="460"/>
      <c r="W202" s="460"/>
      <c r="X202" s="460"/>
      <c r="Y202" s="460"/>
      <c r="Z202" s="460"/>
      <c r="AA202" s="460"/>
    </row>
    <row r="203" spans="1:27" outlineLevel="1" x14ac:dyDescent="0.25">
      <c r="A203" s="469">
        <v>2009</v>
      </c>
      <c r="B203" s="471">
        <f>D$181</f>
        <v>4180.3262409206818</v>
      </c>
      <c r="C203" s="467">
        <f>IF('Data 2006-08'!C$34&lt;=A203,1,'Data 2006-08'!C$34-A203+0.5)</f>
        <v>4.5</v>
      </c>
      <c r="D203" s="87">
        <f>IF($C203=1,$B203,$B203/2/$C203)</f>
        <v>464.48069343563134</v>
      </c>
      <c r="E203" s="87">
        <f>IF((SUM($D203:D203)+$B203/$C203)&gt;$B203,$B203-SUM($D203:D203),$B203/$C203)</f>
        <v>928.96138687126268</v>
      </c>
      <c r="F203" s="87">
        <f>IF((SUM($D203:E203)+$B203/$C203)&gt;$B203,$B203-SUM($D203:E203),$B203/$C203)</f>
        <v>928.96138687126268</v>
      </c>
      <c r="G203" s="87">
        <f>IF((SUM($D203:F203)+$B203/$C203)&gt;$B203,$B203-SUM($D203:F203),$B203/$C203)</f>
        <v>928.96138687126268</v>
      </c>
      <c r="H203" s="87">
        <f>IF((SUM($D203:G203)+$B203/$C203)&gt;$B203,$B203-SUM($D203:G203),$B203/$C203)</f>
        <v>928.96138687126268</v>
      </c>
      <c r="I203" s="87">
        <f>IF((SUM($D203:H203)+$B203/$C203)&gt;$B203,$B203-SUM($D203:H203),$B203/$C203)</f>
        <v>0</v>
      </c>
      <c r="J203" s="87">
        <f>IF((SUM($D203:I203)+$B203/$C203)&gt;$B203,$B203-SUM($D203:I203),$B203/$C203)</f>
        <v>0</v>
      </c>
      <c r="K203" s="87">
        <f>IF((SUM($D203:J203)+$B203/$C203)&gt;$B203,$B203-SUM($D203:J203),$B203/$C203)</f>
        <v>0</v>
      </c>
      <c r="L203" s="87">
        <f>IF((SUM($D203:K203)+$B203/$C203)&gt;$B203,$B203-SUM($D203:K203),$B203/$C203)</f>
        <v>0</v>
      </c>
      <c r="M203" s="87">
        <f>IF((SUM($D203:L203)+$B203/$C203)&gt;$B203,$B203-SUM($D203:L203),$B203/$C203)</f>
        <v>0</v>
      </c>
      <c r="N203" s="87">
        <f>IF((SUM($D203:M203)+$B203/$C203)&gt;$B203,$B203-SUM($D203:M203),$B203/$C203)</f>
        <v>0</v>
      </c>
      <c r="O203" s="87">
        <f>IF((SUM($D203:N203)+$B203/$C203)&gt;$B203,$B203-SUM($D203:N203),$B203/$C203)</f>
        <v>0</v>
      </c>
      <c r="P203" s="87">
        <f>IF((SUM($D203:O203)+$B203/$C203)&gt;$B203,$B203-SUM($D203:O203),$B203/$C203)</f>
        <v>0</v>
      </c>
      <c r="Q203" s="87">
        <f>IF((SUM($D203:P203)+$B203/$C203)&gt;$B203,$B203-SUM($D203:P203),$B203/$C203)</f>
        <v>0</v>
      </c>
      <c r="R203" s="87">
        <f>IF((SUM($D203:Q203)+$B203/$C203)&gt;$B203,$B203-SUM($D203:Q203),$B203/$C203)</f>
        <v>0</v>
      </c>
      <c r="S203" s="87">
        <f>IF((SUM($D203:R203)+$B203/$C203)&gt;$B203,$B203-SUM($D203:R203),$B203/$C203)</f>
        <v>0</v>
      </c>
      <c r="T203" s="87">
        <f>IF((SUM($D203:S203)+$B203/$C203)&gt;$B203,$B203-SUM($D203:S203),$B203/$C203)</f>
        <v>0</v>
      </c>
      <c r="U203" s="87">
        <f>IF((SUM($D203:T203)+$B203/$C203)&gt;$B203,$B203-SUM($D203:T203),$B203/$C203)</f>
        <v>0</v>
      </c>
      <c r="V203" s="87">
        <f>IF((SUM($D203:U203)+$B203/$C203)&gt;$B203,$B203-SUM($D203:U203),$B203/$C203)</f>
        <v>0</v>
      </c>
      <c r="W203" s="87">
        <f>IF((SUM($D203:V203)+$B203/$C203)&gt;$B203,$B203-SUM($D203:V203),$B203/$C203)</f>
        <v>0</v>
      </c>
      <c r="X203" s="87">
        <f>IF((SUM($D203:W203)+$B203/$C203)&gt;$B203,$B203-SUM($D203:W203),$B203/$C203)</f>
        <v>0</v>
      </c>
      <c r="Y203" s="87">
        <f>IF((SUM($D203:X203)+$B203/$C203)&gt;$B203,$B203-SUM($D203:X203),$B203/$C203)</f>
        <v>0</v>
      </c>
      <c r="Z203" s="87">
        <f>IF((SUM($D203:Y203)+$B203/$C203)&gt;$B203,$B203-SUM($D203:Y203),$B203/$C203)</f>
        <v>0</v>
      </c>
      <c r="AA203" s="87">
        <f>IF((SUM($D203:Z203)+$B203/$C203)&gt;$B203,$B203-SUM($D203:Z203),$B203/$C203)</f>
        <v>0</v>
      </c>
    </row>
    <row r="204" spans="1:27" outlineLevel="1" x14ac:dyDescent="0.25">
      <c r="A204" s="469">
        <v>2010</v>
      </c>
      <c r="B204" s="471">
        <f>E$181</f>
        <v>5555.1211708104811</v>
      </c>
      <c r="C204" s="467">
        <f>IF('Data 2006-08'!C$34&lt;=A204,1,'Data 2006-08'!C$34-A204+0.5)</f>
        <v>3.5</v>
      </c>
      <c r="D204" s="480"/>
      <c r="E204" s="87">
        <f>IF($C204=1,$B204,$B204/2/$C204)</f>
        <v>793.58873868721162</v>
      </c>
      <c r="F204" s="87">
        <f>IF((SUM($D204:E204)+$B204/$C204)&gt;$B204,$B204-SUM($D204:E204),$B204/$C204)</f>
        <v>1587.1774773744232</v>
      </c>
      <c r="G204" s="87">
        <f>IF((SUM($D204:F204)+$B204/$C204)&gt;$B204,$B204-SUM($D204:F204),$B204/$C204)</f>
        <v>1587.1774773744232</v>
      </c>
      <c r="H204" s="87">
        <f>IF((SUM($D204:G204)+$B204/$C204)&gt;$B204,$B204-SUM($D204:G204),$B204/$C204)</f>
        <v>1587.1774773744232</v>
      </c>
      <c r="I204" s="87">
        <f>IF((SUM($D204:H204)+$B204/$C204)&gt;$B204,$B204-SUM($D204:H204),$B204/$C204)</f>
        <v>0</v>
      </c>
      <c r="J204" s="87">
        <f>IF((SUM($D204:I204)+$B204/$C204)&gt;$B204,$B204-SUM($D204:I204),$B204/$C204)</f>
        <v>0</v>
      </c>
      <c r="K204" s="87">
        <f>IF((SUM($D204:J204)+$B204/$C204)&gt;$B204,$B204-SUM($D204:J204),$B204/$C204)</f>
        <v>0</v>
      </c>
      <c r="L204" s="87">
        <f>IF((SUM($D204:K204)+$B204/$C204)&gt;$B204,$B204-SUM($D204:K204),$B204/$C204)</f>
        <v>0</v>
      </c>
      <c r="M204" s="87">
        <f>IF((SUM($D204:L204)+$B204/$C204)&gt;$B204,$B204-SUM($D204:L204),$B204/$C204)</f>
        <v>0</v>
      </c>
      <c r="N204" s="87">
        <f>IF((SUM($D204:M204)+$B204/$C204)&gt;$B204,$B204-SUM($D204:M204),$B204/$C204)</f>
        <v>0</v>
      </c>
      <c r="O204" s="87">
        <f>IF((SUM($D204:N204)+$B204/$C204)&gt;$B204,$B204-SUM($D204:N204),$B204/$C204)</f>
        <v>0</v>
      </c>
      <c r="P204" s="87">
        <f>IF((SUM($D204:O204)+$B204/$C204)&gt;$B204,$B204-SUM($D204:O204),$B204/$C204)</f>
        <v>0</v>
      </c>
      <c r="Q204" s="87">
        <f>IF((SUM($D204:P204)+$B204/$C204)&gt;$B204,$B204-SUM($D204:P204),$B204/$C204)</f>
        <v>0</v>
      </c>
      <c r="R204" s="87">
        <f>IF((SUM($D204:Q204)+$B204/$C204)&gt;$B204,$B204-SUM($D204:Q204),$B204/$C204)</f>
        <v>0</v>
      </c>
      <c r="S204" s="87">
        <f>IF((SUM($D204:R204)+$B204/$C204)&gt;$B204,$B204-SUM($D204:R204),$B204/$C204)</f>
        <v>0</v>
      </c>
      <c r="T204" s="87">
        <f>IF((SUM($D204:S204)+$B204/$C204)&gt;$B204,$B204-SUM($D204:S204),$B204/$C204)</f>
        <v>0</v>
      </c>
      <c r="U204" s="87">
        <f>IF((SUM($D204:T204)+$B204/$C204)&gt;$B204,$B204-SUM($D204:T204),$B204/$C204)</f>
        <v>0</v>
      </c>
      <c r="V204" s="87">
        <f>IF((SUM($D204:U204)+$B204/$C204)&gt;$B204,$B204-SUM($D204:U204),$B204/$C204)</f>
        <v>0</v>
      </c>
      <c r="W204" s="87">
        <f>IF((SUM($D204:V204)+$B204/$C204)&gt;$B204,$B204-SUM($D204:V204),$B204/$C204)</f>
        <v>0</v>
      </c>
      <c r="X204" s="87">
        <f>IF((SUM($D204:W204)+$B204/$C204)&gt;$B204,$B204-SUM($D204:W204),$B204/$C204)</f>
        <v>0</v>
      </c>
      <c r="Y204" s="87">
        <f>IF((SUM($D204:X204)+$B204/$C204)&gt;$B204,$B204-SUM($D204:X204),$B204/$C204)</f>
        <v>0</v>
      </c>
      <c r="Z204" s="87">
        <f>IF((SUM($D204:Y204)+$B204/$C204)&gt;$B204,$B204-SUM($D204:Y204),$B204/$C204)</f>
        <v>0</v>
      </c>
      <c r="AA204" s="87">
        <f>IF((SUM($D204:Z204)+$B204/$C204)&gt;$B204,$B204-SUM($D204:Z204),$B204/$C204)</f>
        <v>0</v>
      </c>
    </row>
    <row r="205" spans="1:27" outlineLevel="1" x14ac:dyDescent="0.25">
      <c r="A205" s="469">
        <v>2011</v>
      </c>
      <c r="B205" s="471">
        <f>F$181</f>
        <v>5.4910559723023651</v>
      </c>
      <c r="C205" s="467">
        <f>IF('Data 2006-08'!C$34&lt;=A205,1,'Data 2006-08'!C$34-A205+0.5)</f>
        <v>2.5</v>
      </c>
      <c r="D205" s="480"/>
      <c r="E205" s="480"/>
      <c r="F205" s="87">
        <f>IF($C205=1,$B205,$B205/2/$C205)</f>
        <v>1.0982111944604731</v>
      </c>
      <c r="G205" s="87">
        <f>IF((SUM($D205:F205)+$B205/$C205)&gt;$B205,$B205-SUM($D205:F205),$B205/$C205)</f>
        <v>2.1964223889209462</v>
      </c>
      <c r="H205" s="87">
        <f>IF((SUM($D205:G205)+$B205/$C205)&gt;$B205,$B205-SUM($D205:G205),$B205/$C205)</f>
        <v>2.1964223889209462</v>
      </c>
      <c r="I205" s="87">
        <f>IF((SUM($D205:H205)+$B205/$C205)&gt;$B205,$B205-SUM($D205:H205),$B205/$C205)</f>
        <v>-8.8817841970012523E-16</v>
      </c>
      <c r="J205" s="87">
        <f>IF((SUM($D205:I205)+$B205/$C205)&gt;$B205,$B205-SUM($D205:I205),$B205/$C205)</f>
        <v>0</v>
      </c>
      <c r="K205" s="87">
        <f>IF((SUM($D205:J205)+$B205/$C205)&gt;$B205,$B205-SUM($D205:J205),$B205/$C205)</f>
        <v>0</v>
      </c>
      <c r="L205" s="87">
        <f>IF((SUM($D205:K205)+$B205/$C205)&gt;$B205,$B205-SUM($D205:K205),$B205/$C205)</f>
        <v>0</v>
      </c>
      <c r="M205" s="87">
        <f>IF((SUM($D205:L205)+$B205/$C205)&gt;$B205,$B205-SUM($D205:L205),$B205/$C205)</f>
        <v>0</v>
      </c>
      <c r="N205" s="87">
        <f>IF((SUM($D205:M205)+$B205/$C205)&gt;$B205,$B205-SUM($D205:M205),$B205/$C205)</f>
        <v>0</v>
      </c>
      <c r="O205" s="87">
        <f>IF((SUM($D205:N205)+$B205/$C205)&gt;$B205,$B205-SUM($D205:N205),$B205/$C205)</f>
        <v>0</v>
      </c>
      <c r="P205" s="87">
        <f>IF((SUM($D205:O205)+$B205/$C205)&gt;$B205,$B205-SUM($D205:O205),$B205/$C205)</f>
        <v>0</v>
      </c>
      <c r="Q205" s="87">
        <f>IF((SUM($D205:P205)+$B205/$C205)&gt;$B205,$B205-SUM($D205:P205),$B205/$C205)</f>
        <v>0</v>
      </c>
      <c r="R205" s="87">
        <f>IF((SUM($D205:Q205)+$B205/$C205)&gt;$B205,$B205-SUM($D205:Q205),$B205/$C205)</f>
        <v>0</v>
      </c>
      <c r="S205" s="87">
        <f>IF((SUM($D205:R205)+$B205/$C205)&gt;$B205,$B205-SUM($D205:R205),$B205/$C205)</f>
        <v>0</v>
      </c>
      <c r="T205" s="87">
        <f>IF((SUM($D205:S205)+$B205/$C205)&gt;$B205,$B205-SUM($D205:S205),$B205/$C205)</f>
        <v>0</v>
      </c>
      <c r="U205" s="87">
        <f>IF((SUM($D205:T205)+$B205/$C205)&gt;$B205,$B205-SUM($D205:T205),$B205/$C205)</f>
        <v>0</v>
      </c>
      <c r="V205" s="87">
        <f>IF((SUM($D205:U205)+$B205/$C205)&gt;$B205,$B205-SUM($D205:U205),$B205/$C205)</f>
        <v>0</v>
      </c>
      <c r="W205" s="87">
        <f>IF((SUM($D205:V205)+$B205/$C205)&gt;$B205,$B205-SUM($D205:V205),$B205/$C205)</f>
        <v>0</v>
      </c>
      <c r="X205" s="87">
        <f>IF((SUM($D205:W205)+$B205/$C205)&gt;$B205,$B205-SUM($D205:W205),$B205/$C205)</f>
        <v>0</v>
      </c>
      <c r="Y205" s="87">
        <f>IF((SUM($D205:X205)+$B205/$C205)&gt;$B205,$B205-SUM($D205:X205),$B205/$C205)</f>
        <v>0</v>
      </c>
      <c r="Z205" s="87">
        <f>IF((SUM($D205:Y205)+$B205/$C205)&gt;$B205,$B205-SUM($D205:Y205),$B205/$C205)</f>
        <v>0</v>
      </c>
      <c r="AA205" s="87">
        <f>IF((SUM($D205:Z205)+$B205/$C205)&gt;$B205,$B205-SUM($D205:Z205),$B205/$C205)</f>
        <v>0</v>
      </c>
    </row>
    <row r="206" spans="1:27" outlineLevel="1" x14ac:dyDescent="0.25">
      <c r="A206" s="469">
        <v>2012</v>
      </c>
      <c r="B206" s="471">
        <f>G$181</f>
        <v>61.493315252872833</v>
      </c>
      <c r="C206" s="467">
        <f>IF('Data 2006-08'!C$34&lt;=A206,1,'Data 2006-08'!C$34-A206+0.5)</f>
        <v>1.5</v>
      </c>
      <c r="D206" s="480"/>
      <c r="E206" s="480"/>
      <c r="F206" s="480"/>
      <c r="G206" s="87">
        <f>IF($C206=1,$B206,$B206/2/$C206)</f>
        <v>20.497771750957611</v>
      </c>
      <c r="H206" s="87">
        <f>IF((SUM($D206:G206)+$B206/$C206)&gt;$B206,$B206-SUM($D206:G206),$B206/$C206)</f>
        <v>40.995543501915222</v>
      </c>
      <c r="I206" s="87">
        <f>IF((SUM($D206:H206)+$B206/$C206)&gt;$B206,$B206-SUM($D206:H206),$B206/$C206)</f>
        <v>0</v>
      </c>
      <c r="J206" s="87">
        <f>IF((SUM($D206:I206)+$B206/$C206)&gt;$B206,$B206-SUM($D206:I206),$B206/$C206)</f>
        <v>0</v>
      </c>
      <c r="K206" s="87">
        <f>IF((SUM($D206:J206)+$B206/$C206)&gt;$B206,$B206-SUM($D206:J206),$B206/$C206)</f>
        <v>0</v>
      </c>
      <c r="L206" s="87">
        <f>IF((SUM($D206:K206)+$B206/$C206)&gt;$B206,$B206-SUM($D206:K206),$B206/$C206)</f>
        <v>0</v>
      </c>
      <c r="M206" s="87">
        <f>IF((SUM($D206:L206)+$B206/$C206)&gt;$B206,$B206-SUM($D206:L206),$B206/$C206)</f>
        <v>0</v>
      </c>
      <c r="N206" s="87">
        <f>IF((SUM($D206:M206)+$B206/$C206)&gt;$B206,$B206-SUM($D206:M206),$B206/$C206)</f>
        <v>0</v>
      </c>
      <c r="O206" s="87">
        <f>IF((SUM($D206:N206)+$B206/$C206)&gt;$B206,$B206-SUM($D206:N206),$B206/$C206)</f>
        <v>0</v>
      </c>
      <c r="P206" s="87">
        <f>IF((SUM($D206:O206)+$B206/$C206)&gt;$B206,$B206-SUM($D206:O206),$B206/$C206)</f>
        <v>0</v>
      </c>
      <c r="Q206" s="87">
        <f>IF((SUM($D206:P206)+$B206/$C206)&gt;$B206,$B206-SUM($D206:P206),$B206/$C206)</f>
        <v>0</v>
      </c>
      <c r="R206" s="87">
        <f>IF((SUM($D206:Q206)+$B206/$C206)&gt;$B206,$B206-SUM($D206:Q206),$B206/$C206)</f>
        <v>0</v>
      </c>
      <c r="S206" s="87">
        <f>IF((SUM($D206:R206)+$B206/$C206)&gt;$B206,$B206-SUM($D206:R206),$B206/$C206)</f>
        <v>0</v>
      </c>
      <c r="T206" s="87">
        <f>IF((SUM($D206:S206)+$B206/$C206)&gt;$B206,$B206-SUM($D206:S206),$B206/$C206)</f>
        <v>0</v>
      </c>
      <c r="U206" s="87">
        <f>IF((SUM($D206:T206)+$B206/$C206)&gt;$B206,$B206-SUM($D206:T206),$B206/$C206)</f>
        <v>0</v>
      </c>
      <c r="V206" s="87">
        <f>IF((SUM($D206:U206)+$B206/$C206)&gt;$B206,$B206-SUM($D206:U206),$B206/$C206)</f>
        <v>0</v>
      </c>
      <c r="W206" s="87">
        <f>IF((SUM($D206:V206)+$B206/$C206)&gt;$B206,$B206-SUM($D206:V206),$B206/$C206)</f>
        <v>0</v>
      </c>
      <c r="X206" s="87">
        <f>IF((SUM($D206:W206)+$B206/$C206)&gt;$B206,$B206-SUM($D206:W206),$B206/$C206)</f>
        <v>0</v>
      </c>
      <c r="Y206" s="87">
        <f>IF((SUM($D206:X206)+$B206/$C206)&gt;$B206,$B206-SUM($D206:X206),$B206/$C206)</f>
        <v>0</v>
      </c>
      <c r="Z206" s="87">
        <f>IF((SUM($D206:Y206)+$B206/$C206)&gt;$B206,$B206-SUM($D206:Y206),$B206/$C206)</f>
        <v>0</v>
      </c>
      <c r="AA206" s="87">
        <f>IF((SUM($D206:Z206)+$B206/$C206)&gt;$B206,$B206-SUM($D206:Z206),$B206/$C206)</f>
        <v>0</v>
      </c>
    </row>
    <row r="207" spans="1:27" outlineLevel="1" x14ac:dyDescent="0.25">
      <c r="A207" s="469">
        <v>2013</v>
      </c>
      <c r="B207" s="471">
        <f>H$181</f>
        <v>0</v>
      </c>
      <c r="C207" s="467">
        <f>IF('Data 2006-08'!C$34&lt;=A207,1,'Data 2006-08'!C$34-A207+0.5)</f>
        <v>1</v>
      </c>
      <c r="D207" s="480"/>
      <c r="E207" s="480"/>
      <c r="F207" s="480"/>
      <c r="G207" s="480"/>
      <c r="H207" s="87">
        <f>IF($C207=1,$B207,$B207/2/$C207)</f>
        <v>0</v>
      </c>
      <c r="I207" s="87">
        <f>IF((SUM($D207:H207)+$B207/$C207)&gt;$B207,$B207-SUM($D207:H207),$B207/$C207)</f>
        <v>0</v>
      </c>
      <c r="J207" s="87">
        <f>IF((SUM($D207:I207)+$B207/$C207)&gt;$B207,$B207-SUM($D207:I207),$B207/$C207)</f>
        <v>0</v>
      </c>
      <c r="K207" s="87">
        <f>IF((SUM($D207:J207)+$B207/$C207)&gt;$B207,$B207-SUM($D207:J207),$B207/$C207)</f>
        <v>0</v>
      </c>
      <c r="L207" s="87">
        <f>IF((SUM($D207:K207)+$B207/$C207)&gt;$B207,$B207-SUM($D207:K207),$B207/$C207)</f>
        <v>0</v>
      </c>
      <c r="M207" s="87">
        <f>IF((SUM($D207:L207)+$B207/$C207)&gt;$B207,$B207-SUM($D207:L207),$B207/$C207)</f>
        <v>0</v>
      </c>
      <c r="N207" s="87">
        <f>IF((SUM($D207:M207)+$B207/$C207)&gt;$B207,$B207-SUM($D207:M207),$B207/$C207)</f>
        <v>0</v>
      </c>
      <c r="O207" s="87">
        <f>IF((SUM($D207:N207)+$B207/$C207)&gt;$B207,$B207-SUM($D207:N207),$B207/$C207)</f>
        <v>0</v>
      </c>
      <c r="P207" s="87">
        <f>IF((SUM($D207:O207)+$B207/$C207)&gt;$B207,$B207-SUM($D207:O207),$B207/$C207)</f>
        <v>0</v>
      </c>
      <c r="Q207" s="87">
        <f>IF((SUM($D207:P207)+$B207/$C207)&gt;$B207,$B207-SUM($D207:P207),$B207/$C207)</f>
        <v>0</v>
      </c>
      <c r="R207" s="87">
        <f>IF((SUM($D207:Q207)+$B207/$C207)&gt;$B207,$B207-SUM($D207:Q207),$B207/$C207)</f>
        <v>0</v>
      </c>
      <c r="S207" s="87">
        <f>IF((SUM($D207:R207)+$B207/$C207)&gt;$B207,$B207-SUM($D207:R207),$B207/$C207)</f>
        <v>0</v>
      </c>
      <c r="T207" s="87">
        <f>IF((SUM($D207:S207)+$B207/$C207)&gt;$B207,$B207-SUM($D207:S207),$B207/$C207)</f>
        <v>0</v>
      </c>
      <c r="U207" s="87">
        <f>IF((SUM($D207:T207)+$B207/$C207)&gt;$B207,$B207-SUM($D207:T207),$B207/$C207)</f>
        <v>0</v>
      </c>
      <c r="V207" s="87">
        <f>IF((SUM($D207:U207)+$B207/$C207)&gt;$B207,$B207-SUM($D207:U207),$B207/$C207)</f>
        <v>0</v>
      </c>
      <c r="W207" s="87">
        <f>IF((SUM($D207:V207)+$B207/$C207)&gt;$B207,$B207-SUM($D207:V207),$B207/$C207)</f>
        <v>0</v>
      </c>
      <c r="X207" s="87">
        <f>IF((SUM($D207:W207)+$B207/$C207)&gt;$B207,$B207-SUM($D207:W207),$B207/$C207)</f>
        <v>0</v>
      </c>
      <c r="Y207" s="87">
        <f>IF((SUM($D207:X207)+$B207/$C207)&gt;$B207,$B207-SUM($D207:X207),$B207/$C207)</f>
        <v>0</v>
      </c>
      <c r="Z207" s="87">
        <f>IF((SUM($D207:Y207)+$B207/$C207)&gt;$B207,$B207-SUM($D207:Y207),$B207/$C207)</f>
        <v>0</v>
      </c>
      <c r="AA207" s="87">
        <f>IF((SUM($D207:Z207)+$B207/$C207)&gt;$B207,$B207-SUM($D207:Z207),$B207/$C207)</f>
        <v>0</v>
      </c>
    </row>
    <row r="208" spans="1:27" outlineLevel="1" x14ac:dyDescent="0.25">
      <c r="A208" s="469">
        <v>2014</v>
      </c>
      <c r="B208" s="471">
        <f>I$181</f>
        <v>0</v>
      </c>
      <c r="C208" s="467">
        <f>IF('Data 2006-08'!C$34&lt;=A208,1,'Data 2006-08'!C$34-A208+0.5)</f>
        <v>1</v>
      </c>
      <c r="D208" s="480"/>
      <c r="E208" s="480"/>
      <c r="F208" s="480"/>
      <c r="G208" s="480"/>
      <c r="H208" s="480"/>
      <c r="I208" s="87">
        <f>IF($C208=1,$B208,$B208/2/$C208)</f>
        <v>0</v>
      </c>
      <c r="J208" s="87">
        <f>IF((SUM($D208:I208)+$B208/$C208)&gt;$B208,$B208-SUM($D208:I208),$B208/$C208)</f>
        <v>0</v>
      </c>
      <c r="K208" s="87">
        <f>IF((SUM($D208:J208)+$B208/$C208)&gt;$B208,$B208-SUM($D208:J208),$B208/$C208)</f>
        <v>0</v>
      </c>
      <c r="L208" s="87">
        <f>IF((SUM($D208:K208)+$B208/$C208)&gt;$B208,$B208-SUM($D208:K208),$B208/$C208)</f>
        <v>0</v>
      </c>
      <c r="M208" s="87">
        <f>IF((SUM($D208:L208)+$B208/$C208)&gt;$B208,$B208-SUM($D208:L208),$B208/$C208)</f>
        <v>0</v>
      </c>
      <c r="N208" s="87">
        <f>IF((SUM($D208:M208)+$B208/$C208)&gt;$B208,$B208-SUM($D208:M208),$B208/$C208)</f>
        <v>0</v>
      </c>
      <c r="O208" s="87">
        <f>IF((SUM($D208:N208)+$B208/$C208)&gt;$B208,$B208-SUM($D208:N208),$B208/$C208)</f>
        <v>0</v>
      </c>
      <c r="P208" s="87">
        <f>IF((SUM($D208:O208)+$B208/$C208)&gt;$B208,$B208-SUM($D208:O208),$B208/$C208)</f>
        <v>0</v>
      </c>
      <c r="Q208" s="87">
        <f>IF((SUM($D208:P208)+$B208/$C208)&gt;$B208,$B208-SUM($D208:P208),$B208/$C208)</f>
        <v>0</v>
      </c>
      <c r="R208" s="87">
        <f>IF((SUM($D208:Q208)+$B208/$C208)&gt;$B208,$B208-SUM($D208:Q208),$B208/$C208)</f>
        <v>0</v>
      </c>
      <c r="S208" s="87">
        <f>IF((SUM($D208:R208)+$B208/$C208)&gt;$B208,$B208-SUM($D208:R208),$B208/$C208)</f>
        <v>0</v>
      </c>
      <c r="T208" s="87">
        <f>IF((SUM($D208:S208)+$B208/$C208)&gt;$B208,$B208-SUM($D208:S208),$B208/$C208)</f>
        <v>0</v>
      </c>
      <c r="U208" s="87">
        <f>IF((SUM($D208:T208)+$B208/$C208)&gt;$B208,$B208-SUM($D208:T208),$B208/$C208)</f>
        <v>0</v>
      </c>
      <c r="V208" s="87">
        <f>IF((SUM($D208:U208)+$B208/$C208)&gt;$B208,$B208-SUM($D208:U208),$B208/$C208)</f>
        <v>0</v>
      </c>
      <c r="W208" s="87">
        <f>IF((SUM($D208:V208)+$B208/$C208)&gt;$B208,$B208-SUM($D208:V208),$B208/$C208)</f>
        <v>0</v>
      </c>
      <c r="X208" s="87">
        <f>IF((SUM($D208:W208)+$B208/$C208)&gt;$B208,$B208-SUM($D208:W208),$B208/$C208)</f>
        <v>0</v>
      </c>
      <c r="Y208" s="87">
        <f>IF((SUM($D208:X208)+$B208/$C208)&gt;$B208,$B208-SUM($D208:X208),$B208/$C208)</f>
        <v>0</v>
      </c>
      <c r="Z208" s="87">
        <f>IF((SUM($D208:Y208)+$B208/$C208)&gt;$B208,$B208-SUM($D208:Y208),$B208/$C208)</f>
        <v>0</v>
      </c>
      <c r="AA208" s="87">
        <f>IF((SUM($D208:Z208)+$B208/$C208)&gt;$B208,$B208-SUM($D208:Z208),$B208/$C208)</f>
        <v>0</v>
      </c>
    </row>
    <row r="209" spans="1:27" outlineLevel="1" x14ac:dyDescent="0.25">
      <c r="A209" s="469">
        <v>2015</v>
      </c>
      <c r="B209" s="471">
        <f>J$181</f>
        <v>0</v>
      </c>
      <c r="C209" s="467">
        <f>IF('Data 2006-08'!C$34&lt;=A209,1,'Data 2006-08'!C$34-A209+0.5)</f>
        <v>1</v>
      </c>
      <c r="D209" s="480"/>
      <c r="E209" s="480"/>
      <c r="F209" s="480"/>
      <c r="G209" s="480"/>
      <c r="H209" s="480"/>
      <c r="I209" s="480"/>
      <c r="J209" s="87">
        <f>IF($C209=1,$B209,$B209/2/$C209)</f>
        <v>0</v>
      </c>
      <c r="K209" s="87">
        <f>IF((SUM($D209:J209)+$B209/$C209)&gt;$B209,$B209-SUM($D209:J209),$B209/$C209)</f>
        <v>0</v>
      </c>
      <c r="L209" s="87">
        <f>IF((SUM($D209:K209)+$B209/$C209)&gt;$B209,$B209-SUM($D209:K209),$B209/$C209)</f>
        <v>0</v>
      </c>
      <c r="M209" s="87">
        <f>IF((SUM($D209:L209)+$B209/$C209)&gt;$B209,$B209-SUM($D209:L209),$B209/$C209)</f>
        <v>0</v>
      </c>
      <c r="N209" s="87">
        <f>IF((SUM($D209:M209)+$B209/$C209)&gt;$B209,$B209-SUM($D209:M209),$B209/$C209)</f>
        <v>0</v>
      </c>
      <c r="O209" s="87">
        <f>IF((SUM($D209:N209)+$B209/$C209)&gt;$B209,$B209-SUM($D209:N209),$B209/$C209)</f>
        <v>0</v>
      </c>
      <c r="P209" s="87">
        <f>IF((SUM($D209:O209)+$B209/$C209)&gt;$B209,$B209-SUM($D209:O209),$B209/$C209)</f>
        <v>0</v>
      </c>
      <c r="Q209" s="87">
        <f>IF((SUM($D209:P209)+$B209/$C209)&gt;$B209,$B209-SUM($D209:P209),$B209/$C209)</f>
        <v>0</v>
      </c>
      <c r="R209" s="87">
        <f>IF((SUM($D209:Q209)+$B209/$C209)&gt;$B209,$B209-SUM($D209:Q209),$B209/$C209)</f>
        <v>0</v>
      </c>
      <c r="S209" s="87">
        <f>IF((SUM($D209:R209)+$B209/$C209)&gt;$B209,$B209-SUM($D209:R209),$B209/$C209)</f>
        <v>0</v>
      </c>
      <c r="T209" s="87">
        <f>IF((SUM($D209:S209)+$B209/$C209)&gt;$B209,$B209-SUM($D209:S209),$B209/$C209)</f>
        <v>0</v>
      </c>
      <c r="U209" s="87">
        <f>IF((SUM($D209:T209)+$B209/$C209)&gt;$B209,$B209-SUM($D209:T209),$B209/$C209)</f>
        <v>0</v>
      </c>
      <c r="V209" s="87">
        <f>IF((SUM($D209:U209)+$B209/$C209)&gt;$B209,$B209-SUM($D209:U209),$B209/$C209)</f>
        <v>0</v>
      </c>
      <c r="W209" s="87">
        <f>IF((SUM($D209:V209)+$B209/$C209)&gt;$B209,$B209-SUM($D209:V209),$B209/$C209)</f>
        <v>0</v>
      </c>
      <c r="X209" s="87">
        <f>IF((SUM($D209:W209)+$B209/$C209)&gt;$B209,$B209-SUM($D209:W209),$B209/$C209)</f>
        <v>0</v>
      </c>
      <c r="Y209" s="87">
        <f>IF((SUM($D209:X209)+$B209/$C209)&gt;$B209,$B209-SUM($D209:X209),$B209/$C209)</f>
        <v>0</v>
      </c>
      <c r="Z209" s="87">
        <f>IF((SUM($D209:Y209)+$B209/$C209)&gt;$B209,$B209-SUM($D209:Y209),$B209/$C209)</f>
        <v>0</v>
      </c>
      <c r="AA209" s="87">
        <f>IF((SUM($D209:Z209)+$B209/$C209)&gt;$B209,$B209-SUM($D209:Z209),$B209/$C209)</f>
        <v>0</v>
      </c>
    </row>
    <row r="210" spans="1:27" s="469" customFormat="1" outlineLevel="1" x14ac:dyDescent="0.25">
      <c r="B210" s="472">
        <f>SUM(B203:B209)</f>
        <v>9802.431782956337</v>
      </c>
      <c r="D210" s="697">
        <f t="shared" ref="D210:AA210" si="68">SUM(D203:D209)</f>
        <v>464.48069343563134</v>
      </c>
      <c r="E210" s="697">
        <f t="shared" si="68"/>
        <v>1722.5501255584743</v>
      </c>
      <c r="F210" s="697">
        <f t="shared" si="68"/>
        <v>2517.2370754401463</v>
      </c>
      <c r="G210" s="697">
        <f t="shared" si="68"/>
        <v>2538.8330583855645</v>
      </c>
      <c r="H210" s="697">
        <f t="shared" si="68"/>
        <v>2559.3308301365219</v>
      </c>
      <c r="I210" s="697">
        <f t="shared" si="68"/>
        <v>-8.8817841970012523E-16</v>
      </c>
      <c r="J210" s="697">
        <f t="shared" si="68"/>
        <v>0</v>
      </c>
      <c r="K210" s="697">
        <f t="shared" si="68"/>
        <v>0</v>
      </c>
      <c r="L210" s="697">
        <f t="shared" si="68"/>
        <v>0</v>
      </c>
      <c r="M210" s="697">
        <f t="shared" si="68"/>
        <v>0</v>
      </c>
      <c r="N210" s="697">
        <f t="shared" si="68"/>
        <v>0</v>
      </c>
      <c r="O210" s="697">
        <f t="shared" si="68"/>
        <v>0</v>
      </c>
      <c r="P210" s="697">
        <f t="shared" si="68"/>
        <v>0</v>
      </c>
      <c r="Q210" s="697">
        <f t="shared" si="68"/>
        <v>0</v>
      </c>
      <c r="R210" s="697">
        <f t="shared" si="68"/>
        <v>0</v>
      </c>
      <c r="S210" s="697">
        <f t="shared" si="68"/>
        <v>0</v>
      </c>
      <c r="T210" s="697">
        <f t="shared" si="68"/>
        <v>0</v>
      </c>
      <c r="U210" s="697">
        <f t="shared" si="68"/>
        <v>0</v>
      </c>
      <c r="V210" s="697">
        <f t="shared" si="68"/>
        <v>0</v>
      </c>
      <c r="W210" s="697">
        <f t="shared" si="68"/>
        <v>0</v>
      </c>
      <c r="X210" s="697">
        <f t="shared" si="68"/>
        <v>0</v>
      </c>
      <c r="Y210" s="697">
        <f t="shared" si="68"/>
        <v>0</v>
      </c>
      <c r="Z210" s="697">
        <f t="shared" si="68"/>
        <v>0</v>
      </c>
      <c r="AA210" s="697">
        <f t="shared" si="68"/>
        <v>0</v>
      </c>
    </row>
    <row r="211" spans="1:27" outlineLevel="1" x14ac:dyDescent="0.25">
      <c r="A211" s="465"/>
      <c r="B211" s="465"/>
      <c r="C211" s="465"/>
      <c r="D211" s="465"/>
      <c r="E211" s="465"/>
      <c r="F211" s="465"/>
      <c r="G211" s="465"/>
      <c r="H211" s="465"/>
      <c r="I211" s="465"/>
    </row>
    <row r="212" spans="1:27" outlineLevel="1" x14ac:dyDescent="0.25">
      <c r="A212" s="465"/>
      <c r="B212" s="465"/>
      <c r="C212" s="465"/>
      <c r="D212" s="465"/>
      <c r="E212" s="465"/>
      <c r="F212" s="465"/>
      <c r="G212" s="465"/>
      <c r="H212" s="465"/>
      <c r="I212" s="465"/>
    </row>
    <row r="213" spans="1:27" outlineLevel="1" x14ac:dyDescent="0.25">
      <c r="A213" s="3" t="str">
        <f>'Data 2009-15 (Real $2008)'!A$154</f>
        <v>Remotely read interval meters &amp; transformers</v>
      </c>
      <c r="B213" s="473" t="s">
        <v>325</v>
      </c>
      <c r="C213" s="308" t="s">
        <v>7</v>
      </c>
      <c r="D213" s="468">
        <f>D$4</f>
        <v>2009</v>
      </c>
      <c r="E213" s="468">
        <f t="shared" ref="E213:AA213" si="69">E$4</f>
        <v>2010</v>
      </c>
      <c r="F213" s="468">
        <f t="shared" si="69"/>
        <v>2011</v>
      </c>
      <c r="G213" s="468">
        <f t="shared" si="69"/>
        <v>2012</v>
      </c>
      <c r="H213" s="468">
        <f t="shared" si="69"/>
        <v>2013</v>
      </c>
      <c r="I213" s="468">
        <f t="shared" si="69"/>
        <v>2014</v>
      </c>
      <c r="J213" s="468">
        <f t="shared" si="69"/>
        <v>2015</v>
      </c>
      <c r="K213" s="468">
        <f t="shared" si="69"/>
        <v>2016</v>
      </c>
      <c r="L213" s="468">
        <f t="shared" si="69"/>
        <v>2017</v>
      </c>
      <c r="M213" s="468">
        <f t="shared" si="69"/>
        <v>2018</v>
      </c>
      <c r="N213" s="468">
        <f t="shared" si="69"/>
        <v>2019</v>
      </c>
      <c r="O213" s="468">
        <f t="shared" si="69"/>
        <v>2020</v>
      </c>
      <c r="P213" s="468">
        <f t="shared" si="69"/>
        <v>2021</v>
      </c>
      <c r="Q213" s="468">
        <f t="shared" si="69"/>
        <v>2022</v>
      </c>
      <c r="R213" s="468">
        <f t="shared" si="69"/>
        <v>2023</v>
      </c>
      <c r="S213" s="468">
        <f t="shared" si="69"/>
        <v>2024</v>
      </c>
      <c r="T213" s="468">
        <f t="shared" si="69"/>
        <v>2025</v>
      </c>
      <c r="U213" s="468">
        <f t="shared" si="69"/>
        <v>2026</v>
      </c>
      <c r="V213" s="468">
        <f t="shared" si="69"/>
        <v>2027</v>
      </c>
      <c r="W213" s="468">
        <f t="shared" si="69"/>
        <v>2028</v>
      </c>
      <c r="X213" s="468">
        <f t="shared" si="69"/>
        <v>2029</v>
      </c>
      <c r="Y213" s="468">
        <f t="shared" si="69"/>
        <v>2030</v>
      </c>
      <c r="Z213" s="468">
        <f t="shared" si="69"/>
        <v>2031</v>
      </c>
      <c r="AA213" s="468">
        <f t="shared" si="69"/>
        <v>2032</v>
      </c>
    </row>
    <row r="214" spans="1:27" outlineLevel="1" x14ac:dyDescent="0.25">
      <c r="A214" s="346" t="str">
        <f>$A$4</f>
        <v>($000 Real 2008)</v>
      </c>
      <c r="B214" s="474" t="s">
        <v>326</v>
      </c>
      <c r="C214" s="475" t="s">
        <v>322</v>
      </c>
      <c r="D214" s="460"/>
      <c r="E214" s="460"/>
      <c r="F214" s="460"/>
      <c r="G214" s="460"/>
      <c r="H214" s="460"/>
      <c r="I214" s="460"/>
      <c r="J214" s="460"/>
    </row>
    <row r="215" spans="1:27" outlineLevel="1" x14ac:dyDescent="0.25">
      <c r="A215" s="469">
        <v>2009</v>
      </c>
      <c r="B215" s="471">
        <f>D$182</f>
        <v>1159.830216960961</v>
      </c>
      <c r="C215" s="470">
        <f>'Data 2009-15 (Real $2008)'!C$154</f>
        <v>15</v>
      </c>
      <c r="D215" s="87">
        <f>IF(C215&lt;1,B215,B215/2/C215)</f>
        <v>38.661007232032034</v>
      </c>
      <c r="E215" s="87">
        <f>IF((SUM($D215:D215)+$B215/$C215)&gt;$B215,$B215-SUM($D215:D215),$B215/$C215)</f>
        <v>77.322014464064068</v>
      </c>
      <c r="F215" s="87">
        <f>IF((SUM($D215:E215)+$B215/$C215)&gt;$B215,$B215-SUM($D215:E215),$B215/$C215)</f>
        <v>77.322014464064068</v>
      </c>
      <c r="G215" s="87">
        <f>IF((SUM($D215:F215)+$B215/$C215)&gt;$B215,$B215-SUM($D215:F215),$B215/$C215)</f>
        <v>77.322014464064068</v>
      </c>
      <c r="H215" s="87">
        <f>IF((SUM($D215:G215)+$B215/$C215)&gt;$B215,$B215-SUM($D215:G215),$B215/$C215)</f>
        <v>77.322014464064068</v>
      </c>
      <c r="I215" s="87">
        <f>IF((SUM($D215:H215)+$B215/$C215)&gt;$B215,$B215-SUM($D215:H215),$B215/$C215)</f>
        <v>77.322014464064068</v>
      </c>
      <c r="J215" s="87">
        <f>IF((SUM($D215:I215)+$B215/$C215)&gt;$B215,$B215-SUM($D215:I215),$B215/$C215)</f>
        <v>77.322014464064068</v>
      </c>
      <c r="K215" s="87">
        <f>IF((SUM($D215:J215)+$B215/$C215)&gt;$B215,$B215-SUM($D215:J215),$B215/$C215)</f>
        <v>77.322014464064068</v>
      </c>
      <c r="L215" s="87">
        <f>IF((SUM($D215:K215)+$B215/$C215)&gt;$B215,$B215-SUM($D215:K215),$B215/$C215)</f>
        <v>77.322014464064068</v>
      </c>
      <c r="M215" s="87">
        <f>IF((SUM($D215:L215)+$B215/$C215)&gt;$B215,$B215-SUM($D215:L215),$B215/$C215)</f>
        <v>77.322014464064068</v>
      </c>
      <c r="N215" s="87">
        <f>IF((SUM($D215:M215)+$B215/$C215)&gt;$B215,$B215-SUM($D215:M215),$B215/$C215)</f>
        <v>77.322014464064068</v>
      </c>
      <c r="O215" s="87">
        <f>IF((SUM($D215:N215)+$B215/$C215)&gt;$B215,$B215-SUM($D215:N215),$B215/$C215)</f>
        <v>77.322014464064068</v>
      </c>
      <c r="P215" s="87">
        <f>IF((SUM($D215:O215)+$B215/$C215)&gt;$B215,$B215-SUM($D215:O215),$B215/$C215)</f>
        <v>77.322014464064068</v>
      </c>
      <c r="Q215" s="87">
        <f>IF((SUM($D215:P215)+$B215/$C215)&gt;$B215,$B215-SUM($D215:P215),$B215/$C215)</f>
        <v>77.322014464064068</v>
      </c>
      <c r="R215" s="87">
        <f>IF((SUM($D215:Q215)+$B215/$C215)&gt;$B215,$B215-SUM($D215:Q215),$B215/$C215)</f>
        <v>77.322014464064068</v>
      </c>
      <c r="S215" s="87">
        <f>IF((SUM($D215:R215)+$B215/$C215)&gt;$B215,$B215-SUM($D215:R215),$B215/$C215)</f>
        <v>38.661007232032034</v>
      </c>
      <c r="T215" s="87">
        <f>IF((SUM($D215:S215)+$B215/$C215)&gt;$B215,$B215-SUM($D215:S215),$B215/$C215)</f>
        <v>0</v>
      </c>
      <c r="U215" s="87">
        <f>IF((SUM($D215:T215)+$B215/$C215)&gt;$B215,$B215-SUM($D215:T215),$B215/$C215)</f>
        <v>0</v>
      </c>
      <c r="V215" s="87">
        <f>IF((SUM($D215:U215)+$B215/$C215)&gt;$B215,$B215-SUM($D215:U215),$B215/$C215)</f>
        <v>0</v>
      </c>
      <c r="W215" s="87">
        <f>IF((SUM($D215:V215)+$B215/$C215)&gt;$B215,$B215-SUM($D215:V215),$B215/$C215)</f>
        <v>0</v>
      </c>
      <c r="X215" s="87">
        <f>IF((SUM($D215:W215)+$B215/$C215)&gt;$B215,$B215-SUM($D215:W215),$B215/$C215)</f>
        <v>0</v>
      </c>
      <c r="Y215" s="87">
        <f>IF((SUM($D215:X215)+$B215/$C215)&gt;$B215,$B215-SUM($D215:X215),$B215/$C215)</f>
        <v>0</v>
      </c>
      <c r="Z215" s="87">
        <f>IF((SUM($D215:Y215)+$B215/$C215)&gt;$B215,$B215-SUM($D215:Y215),$B215/$C215)</f>
        <v>0</v>
      </c>
      <c r="AA215" s="87">
        <f>IF((SUM($D215:Z215)+$B215/$C215)&gt;$B215,$B215-SUM($D215:Z215),$B215/$C215)</f>
        <v>0</v>
      </c>
    </row>
    <row r="216" spans="1:27" outlineLevel="1" x14ac:dyDescent="0.25">
      <c r="A216" s="469">
        <v>2010</v>
      </c>
      <c r="B216" s="471">
        <f>E$182</f>
        <v>27930.710455013079</v>
      </c>
      <c r="C216" s="470">
        <f>'Data 2009-15 (Real $2008)'!C$154</f>
        <v>15</v>
      </c>
      <c r="D216" s="480"/>
      <c r="E216" s="87">
        <f>IF(C216&lt;1,B216,B216/2/C216)</f>
        <v>931.02368183376927</v>
      </c>
      <c r="F216" s="87">
        <f>IF((SUM($D216:E216)+$B216/$C216)&gt;$B216,$B216-SUM($D216:E216),$B216/$C216)</f>
        <v>1862.0473636675385</v>
      </c>
      <c r="G216" s="87">
        <f>IF((SUM($D216:F216)+$B216/$C216)&gt;$B216,$B216-SUM($D216:F216),$B216/$C216)</f>
        <v>1862.0473636675385</v>
      </c>
      <c r="H216" s="87">
        <f>IF((SUM($D216:G216)+$B216/$C216)&gt;$B216,$B216-SUM($D216:G216),$B216/$C216)</f>
        <v>1862.0473636675385</v>
      </c>
      <c r="I216" s="87">
        <f>IF((SUM($D216:H216)+$B216/$C216)&gt;$B216,$B216-SUM($D216:H216),$B216/$C216)</f>
        <v>1862.0473636675385</v>
      </c>
      <c r="J216" s="87">
        <f>IF((SUM($D216:I216)+$B216/$C216)&gt;$B216,$B216-SUM($D216:I216),$B216/$C216)</f>
        <v>1862.0473636675385</v>
      </c>
      <c r="K216" s="87">
        <f>IF((SUM($D216:J216)+$B216/$C216)&gt;$B216,$B216-SUM($D216:J216),$B216/$C216)</f>
        <v>1862.0473636675385</v>
      </c>
      <c r="L216" s="87">
        <f>IF((SUM($D216:K216)+$B216/$C216)&gt;$B216,$B216-SUM($D216:K216),$B216/$C216)</f>
        <v>1862.0473636675385</v>
      </c>
      <c r="M216" s="87">
        <f>IF((SUM($D216:L216)+$B216/$C216)&gt;$B216,$B216-SUM($D216:L216),$B216/$C216)</f>
        <v>1862.0473636675385</v>
      </c>
      <c r="N216" s="87">
        <f>IF((SUM($D216:M216)+$B216/$C216)&gt;$B216,$B216-SUM($D216:M216),$B216/$C216)</f>
        <v>1862.0473636675385</v>
      </c>
      <c r="O216" s="87">
        <f>IF((SUM($D216:N216)+$B216/$C216)&gt;$B216,$B216-SUM($D216:N216),$B216/$C216)</f>
        <v>1862.0473636675385</v>
      </c>
      <c r="P216" s="87">
        <f>IF((SUM($D216:O216)+$B216/$C216)&gt;$B216,$B216-SUM($D216:O216),$B216/$C216)</f>
        <v>1862.0473636675385</v>
      </c>
      <c r="Q216" s="87">
        <f>IF((SUM($D216:P216)+$B216/$C216)&gt;$B216,$B216-SUM($D216:P216),$B216/$C216)</f>
        <v>1862.0473636675385</v>
      </c>
      <c r="R216" s="87">
        <f>IF((SUM($D216:Q216)+$B216/$C216)&gt;$B216,$B216-SUM($D216:Q216),$B216/$C216)</f>
        <v>1862.0473636675385</v>
      </c>
      <c r="S216" s="87">
        <f>IF((SUM($D216:R216)+$B216/$C216)&gt;$B216,$B216-SUM($D216:R216),$B216/$C216)</f>
        <v>1862.0473636675385</v>
      </c>
      <c r="T216" s="87">
        <f>IF((SUM($D216:S216)+$B216/$C216)&gt;$B216,$B216-SUM($D216:S216),$B216/$C216)</f>
        <v>931.02368183377621</v>
      </c>
      <c r="U216" s="87">
        <f>IF((SUM($D216:T216)+$B216/$C216)&gt;$B216,$B216-SUM($D216:T216),$B216/$C216)</f>
        <v>0</v>
      </c>
      <c r="V216" s="87">
        <f>IF((SUM($D216:U216)+$B216/$C216)&gt;$B216,$B216-SUM($D216:U216),$B216/$C216)</f>
        <v>0</v>
      </c>
      <c r="W216" s="87">
        <f>IF((SUM($D216:V216)+$B216/$C216)&gt;$B216,$B216-SUM($D216:V216),$B216/$C216)</f>
        <v>0</v>
      </c>
      <c r="X216" s="87">
        <f>IF((SUM($D216:W216)+$B216/$C216)&gt;$B216,$B216-SUM($D216:W216),$B216/$C216)</f>
        <v>0</v>
      </c>
      <c r="Y216" s="87">
        <f>IF((SUM($D216:X216)+$B216/$C216)&gt;$B216,$B216-SUM($D216:X216),$B216/$C216)</f>
        <v>0</v>
      </c>
      <c r="Z216" s="87">
        <f>IF((SUM($D216:Y216)+$B216/$C216)&gt;$B216,$B216-SUM($D216:Y216),$B216/$C216)</f>
        <v>0</v>
      </c>
      <c r="AA216" s="87">
        <f>IF((SUM($D216:Z216)+$B216/$C216)&gt;$B216,$B216-SUM($D216:Z216),$B216/$C216)</f>
        <v>0</v>
      </c>
    </row>
    <row r="217" spans="1:27" outlineLevel="1" x14ac:dyDescent="0.25">
      <c r="A217" s="469">
        <v>2011</v>
      </c>
      <c r="B217" s="471">
        <f>F$182</f>
        <v>73445.619157530295</v>
      </c>
      <c r="C217" s="470">
        <f>'Data 2009-15 (Real $2008)'!C$154</f>
        <v>15</v>
      </c>
      <c r="D217" s="480"/>
      <c r="E217" s="480"/>
      <c r="F217" s="87">
        <f>IF(C217&lt;1,B217,B217/2/C217)</f>
        <v>2448.18730525101</v>
      </c>
      <c r="G217" s="87">
        <f>IF((SUM($D217:F217)+$B217/$C217)&gt;$B217,$B217-SUM($D217:F217),$B217/$C217)</f>
        <v>4896.37461050202</v>
      </c>
      <c r="H217" s="87">
        <f>IF((SUM($D217:G217)+$B217/$C217)&gt;$B217,$B217-SUM($D217:G217),$B217/$C217)</f>
        <v>4896.37461050202</v>
      </c>
      <c r="I217" s="87">
        <f>IF((SUM($D217:H217)+$B217/$C217)&gt;$B217,$B217-SUM($D217:H217),$B217/$C217)</f>
        <v>4896.37461050202</v>
      </c>
      <c r="J217" s="87">
        <f>IF((SUM($D217:I217)+$B217/$C217)&gt;$B217,$B217-SUM($D217:I217),$B217/$C217)</f>
        <v>4896.37461050202</v>
      </c>
      <c r="K217" s="87">
        <f>IF((SUM($D217:J217)+$B217/$C217)&gt;$B217,$B217-SUM($D217:J217),$B217/$C217)</f>
        <v>4896.37461050202</v>
      </c>
      <c r="L217" s="87">
        <f>IF((SUM($D217:K217)+$B217/$C217)&gt;$B217,$B217-SUM($D217:K217),$B217/$C217)</f>
        <v>4896.37461050202</v>
      </c>
      <c r="M217" s="87">
        <f>IF((SUM($D217:L217)+$B217/$C217)&gt;$B217,$B217-SUM($D217:L217),$B217/$C217)</f>
        <v>4896.37461050202</v>
      </c>
      <c r="N217" s="87">
        <f>IF((SUM($D217:M217)+$B217/$C217)&gt;$B217,$B217-SUM($D217:M217),$B217/$C217)</f>
        <v>4896.37461050202</v>
      </c>
      <c r="O217" s="87">
        <f>IF((SUM($D217:N217)+$B217/$C217)&gt;$B217,$B217-SUM($D217:N217),$B217/$C217)</f>
        <v>4896.37461050202</v>
      </c>
      <c r="P217" s="87">
        <f>IF((SUM($D217:O217)+$B217/$C217)&gt;$B217,$B217-SUM($D217:O217),$B217/$C217)</f>
        <v>4896.37461050202</v>
      </c>
      <c r="Q217" s="87">
        <f>IF((SUM($D217:P217)+$B217/$C217)&gt;$B217,$B217-SUM($D217:P217),$B217/$C217)</f>
        <v>4896.37461050202</v>
      </c>
      <c r="R217" s="87">
        <f>IF((SUM($D217:Q217)+$B217/$C217)&gt;$B217,$B217-SUM($D217:Q217),$B217/$C217)</f>
        <v>4896.37461050202</v>
      </c>
      <c r="S217" s="87">
        <f>IF((SUM($D217:R217)+$B217/$C217)&gt;$B217,$B217-SUM($D217:R217),$B217/$C217)</f>
        <v>4896.37461050202</v>
      </c>
      <c r="T217" s="87">
        <f>IF((SUM($D217:S217)+$B217/$C217)&gt;$B217,$B217-SUM($D217:S217),$B217/$C217)</f>
        <v>4896.37461050202</v>
      </c>
      <c r="U217" s="87">
        <f>IF((SUM($D217:T217)+$B217/$C217)&gt;$B217,$B217-SUM($D217:T217),$B217/$C217)</f>
        <v>2448.18730525102</v>
      </c>
      <c r="V217" s="87">
        <f>IF((SUM($D217:U217)+$B217/$C217)&gt;$B217,$B217-SUM($D217:U217),$B217/$C217)</f>
        <v>0</v>
      </c>
      <c r="W217" s="87">
        <f>IF((SUM($D217:V217)+$B217/$C217)&gt;$B217,$B217-SUM($D217:V217),$B217/$C217)</f>
        <v>0</v>
      </c>
      <c r="X217" s="87">
        <f>IF((SUM($D217:W217)+$B217/$C217)&gt;$B217,$B217-SUM($D217:W217),$B217/$C217)</f>
        <v>0</v>
      </c>
      <c r="Y217" s="87">
        <f>IF((SUM($D217:X217)+$B217/$C217)&gt;$B217,$B217-SUM($D217:X217),$B217/$C217)</f>
        <v>0</v>
      </c>
      <c r="Z217" s="87">
        <f>IF((SUM($D217:Y217)+$B217/$C217)&gt;$B217,$B217-SUM($D217:Y217),$B217/$C217)</f>
        <v>0</v>
      </c>
      <c r="AA217" s="87">
        <f>IF((SUM($D217:Z217)+$B217/$C217)&gt;$B217,$B217-SUM($D217:Z217),$B217/$C217)</f>
        <v>0</v>
      </c>
    </row>
    <row r="218" spans="1:27" outlineLevel="1" x14ac:dyDescent="0.25">
      <c r="A218" s="469">
        <v>2012</v>
      </c>
      <c r="B218" s="471">
        <f>G$182</f>
        <v>80111.884399314353</v>
      </c>
      <c r="C218" s="470">
        <f>'Data 2009-15 (Real $2008)'!C$154</f>
        <v>15</v>
      </c>
      <c r="D218" s="480"/>
      <c r="E218" s="480"/>
      <c r="F218" s="480"/>
      <c r="G218" s="87">
        <f>IF($C218=1,$B218,$B218/2/$C218)</f>
        <v>2670.3961466438118</v>
      </c>
      <c r="H218" s="87">
        <f>IF((SUM($D218:G218)+$B218/$C218)&gt;$B218,$B218-SUM($D218:G218),$B218/$C218)</f>
        <v>5340.7922932876236</v>
      </c>
      <c r="I218" s="87">
        <f>IF((SUM($D218:H218)+$B218/$C218)&gt;$B218,$B218-SUM($D218:H218),$B218/$C218)</f>
        <v>5340.7922932876236</v>
      </c>
      <c r="J218" s="87">
        <f>IF((SUM($D218:I218)+$B218/$C218)&gt;$B218,$B218-SUM($D218:I218),$B218/$C218)</f>
        <v>5340.7922932876236</v>
      </c>
      <c r="K218" s="87">
        <f>IF((SUM($D218:J218)+$B218/$C218)&gt;$B218,$B218-SUM($D218:J218),$B218/$C218)</f>
        <v>5340.7922932876236</v>
      </c>
      <c r="L218" s="87">
        <f>IF((SUM($D218:K218)+$B218/$C218)&gt;$B218,$B218-SUM($D218:K218),$B218/$C218)</f>
        <v>5340.7922932876236</v>
      </c>
      <c r="M218" s="87">
        <f>IF((SUM($D218:L218)+$B218/$C218)&gt;$B218,$B218-SUM($D218:L218),$B218/$C218)</f>
        <v>5340.7922932876236</v>
      </c>
      <c r="N218" s="87">
        <f>IF((SUM($D218:M218)+$B218/$C218)&gt;$B218,$B218-SUM($D218:M218),$B218/$C218)</f>
        <v>5340.7922932876236</v>
      </c>
      <c r="O218" s="87">
        <f>IF((SUM($D218:N218)+$B218/$C218)&gt;$B218,$B218-SUM($D218:N218),$B218/$C218)</f>
        <v>5340.7922932876236</v>
      </c>
      <c r="P218" s="87">
        <f>IF((SUM($D218:O218)+$B218/$C218)&gt;$B218,$B218-SUM($D218:O218),$B218/$C218)</f>
        <v>5340.7922932876236</v>
      </c>
      <c r="Q218" s="87">
        <f>IF((SUM($D218:P218)+$B218/$C218)&gt;$B218,$B218-SUM($D218:P218),$B218/$C218)</f>
        <v>5340.7922932876236</v>
      </c>
      <c r="R218" s="87">
        <f>IF((SUM($D218:Q218)+$B218/$C218)&gt;$B218,$B218-SUM($D218:Q218),$B218/$C218)</f>
        <v>5340.7922932876236</v>
      </c>
      <c r="S218" s="87">
        <f>IF((SUM($D218:R218)+$B218/$C218)&gt;$B218,$B218-SUM($D218:R218),$B218/$C218)</f>
        <v>5340.7922932876236</v>
      </c>
      <c r="T218" s="87">
        <f>IF((SUM($D218:S218)+$B218/$C218)&gt;$B218,$B218-SUM($D218:S218),$B218/$C218)</f>
        <v>5340.7922932876236</v>
      </c>
      <c r="U218" s="87">
        <f>IF((SUM($D218:T218)+$B218/$C218)&gt;$B218,$B218-SUM($D218:T218),$B218/$C218)</f>
        <v>5340.7922932876236</v>
      </c>
      <c r="V218" s="87">
        <f>IF((SUM($D218:U218)+$B218/$C218)&gt;$B218,$B218-SUM($D218:U218),$B218/$C218)</f>
        <v>2670.396146643805</v>
      </c>
      <c r="W218" s="87">
        <f>IF((SUM($D218:V218)+$B218/$C218)&gt;$B218,$B218-SUM($D218:V218),$B218/$C218)</f>
        <v>0</v>
      </c>
      <c r="X218" s="87">
        <f>IF((SUM($D218:W218)+$B218/$C218)&gt;$B218,$B218-SUM($D218:W218),$B218/$C218)</f>
        <v>0</v>
      </c>
      <c r="Y218" s="87">
        <f>IF((SUM($D218:X218)+$B218/$C218)&gt;$B218,$B218-SUM($D218:X218),$B218/$C218)</f>
        <v>0</v>
      </c>
      <c r="Z218" s="87">
        <f>IF((SUM($D218:Y218)+$B218/$C218)&gt;$B218,$B218-SUM($D218:Y218),$B218/$C218)</f>
        <v>0</v>
      </c>
      <c r="AA218" s="87">
        <f>IF((SUM($D218:Z218)+$B218/$C218)&gt;$B218,$B218-SUM($D218:Z218),$B218/$C218)</f>
        <v>0</v>
      </c>
    </row>
    <row r="219" spans="1:27" outlineLevel="1" x14ac:dyDescent="0.25">
      <c r="A219" s="469">
        <v>2013</v>
      </c>
      <c r="B219" s="471">
        <f>H$182</f>
        <v>81918.832412679607</v>
      </c>
      <c r="C219" s="470">
        <f>'Data 2009-15 (Real $2008)'!C$154</f>
        <v>15</v>
      </c>
      <c r="D219" s="480"/>
      <c r="E219" s="480"/>
      <c r="F219" s="480"/>
      <c r="G219" s="480"/>
      <c r="H219" s="87">
        <f>IF($C219=1,$B219,$B219/2/$C219)</f>
        <v>2730.6277470893201</v>
      </c>
      <c r="I219" s="87">
        <f>IF((SUM($D219:H219)+$B219/$C219)&gt;$B219,$B219-SUM($D219:H219),$B219/$C219)</f>
        <v>5461.2554941786402</v>
      </c>
      <c r="J219" s="87">
        <f>IF((SUM($D219:I219)+$B219/$C219)&gt;$B219,$B219-SUM($D219:I219),$B219/$C219)</f>
        <v>5461.2554941786402</v>
      </c>
      <c r="K219" s="87">
        <f>IF((SUM($D219:J219)+$B219/$C219)&gt;$B219,$B219-SUM($D219:J219),$B219/$C219)</f>
        <v>5461.2554941786402</v>
      </c>
      <c r="L219" s="87">
        <f>IF((SUM($D219:K219)+$B219/$C219)&gt;$B219,$B219-SUM($D219:K219),$B219/$C219)</f>
        <v>5461.2554941786402</v>
      </c>
      <c r="M219" s="87">
        <f>IF((SUM($D219:L219)+$B219/$C219)&gt;$B219,$B219-SUM($D219:L219),$B219/$C219)</f>
        <v>5461.2554941786402</v>
      </c>
      <c r="N219" s="87">
        <f>IF((SUM($D219:M219)+$B219/$C219)&gt;$B219,$B219-SUM($D219:M219),$B219/$C219)</f>
        <v>5461.2554941786402</v>
      </c>
      <c r="O219" s="87">
        <f>IF((SUM($D219:N219)+$B219/$C219)&gt;$B219,$B219-SUM($D219:N219),$B219/$C219)</f>
        <v>5461.2554941786402</v>
      </c>
      <c r="P219" s="87">
        <f>IF((SUM($D219:O219)+$B219/$C219)&gt;$B219,$B219-SUM($D219:O219),$B219/$C219)</f>
        <v>5461.2554941786402</v>
      </c>
      <c r="Q219" s="87">
        <f>IF((SUM($D219:P219)+$B219/$C219)&gt;$B219,$B219-SUM($D219:P219),$B219/$C219)</f>
        <v>5461.2554941786402</v>
      </c>
      <c r="R219" s="87">
        <f>IF((SUM($D219:Q219)+$B219/$C219)&gt;$B219,$B219-SUM($D219:Q219),$B219/$C219)</f>
        <v>5461.2554941786402</v>
      </c>
      <c r="S219" s="87">
        <f>IF((SUM($D219:R219)+$B219/$C219)&gt;$B219,$B219-SUM($D219:R219),$B219/$C219)</f>
        <v>5461.2554941786402</v>
      </c>
      <c r="T219" s="87">
        <f>IF((SUM($D219:S219)+$B219/$C219)&gt;$B219,$B219-SUM($D219:S219),$B219/$C219)</f>
        <v>5461.2554941786402</v>
      </c>
      <c r="U219" s="87">
        <f>IF((SUM($D219:T219)+$B219/$C219)&gt;$B219,$B219-SUM($D219:T219),$B219/$C219)</f>
        <v>5461.2554941786402</v>
      </c>
      <c r="V219" s="87">
        <f>IF((SUM($D219:U219)+$B219/$C219)&gt;$B219,$B219-SUM($D219:U219),$B219/$C219)</f>
        <v>5461.2554941786402</v>
      </c>
      <c r="W219" s="87">
        <f>IF((SUM($D219:V219)+$B219/$C219)&gt;$B219,$B219-SUM($D219:V219),$B219/$C219)</f>
        <v>2730.6277470893547</v>
      </c>
      <c r="X219" s="87">
        <f>IF((SUM($D219:W219)+$B219/$C219)&gt;$B219,$B219-SUM($D219:W219),$B219/$C219)</f>
        <v>0</v>
      </c>
      <c r="Y219" s="87">
        <f>IF((SUM($D219:X219)+$B219/$C219)&gt;$B219,$B219-SUM($D219:X219),$B219/$C219)</f>
        <v>0</v>
      </c>
      <c r="Z219" s="87">
        <f>IF((SUM($D219:Y219)+$B219/$C219)&gt;$B219,$B219-SUM($D219:Y219),$B219/$C219)</f>
        <v>0</v>
      </c>
      <c r="AA219" s="87">
        <f>IF((SUM($D219:Z219)+$B219/$C219)&gt;$B219,$B219-SUM($D219:Z219),$B219/$C219)</f>
        <v>0</v>
      </c>
    </row>
    <row r="220" spans="1:27" outlineLevel="1" x14ac:dyDescent="0.25">
      <c r="A220" s="469">
        <v>2014</v>
      </c>
      <c r="B220" s="471">
        <f>I$182</f>
        <v>32399.118895986627</v>
      </c>
      <c r="C220" s="470">
        <f>'Data 2009-15 (Real $2008)'!C$154</f>
        <v>15</v>
      </c>
      <c r="D220" s="480"/>
      <c r="E220" s="480"/>
      <c r="F220" s="480"/>
      <c r="G220" s="480"/>
      <c r="H220" s="480"/>
      <c r="I220" s="87">
        <f>IF($C220=1,$B220,$B220/2/$C220)</f>
        <v>1079.9706298662209</v>
      </c>
      <c r="J220" s="87">
        <f>IF((SUM($D220:I220)+$B220/$C220)&gt;$B220,$B220-SUM($D220:I220),$B220/$C220)</f>
        <v>2159.9412597324417</v>
      </c>
      <c r="K220" s="87">
        <f>IF((SUM($D220:J220)+$B220/$C220)&gt;$B220,$B220-SUM($D220:J220),$B220/$C220)</f>
        <v>2159.9412597324417</v>
      </c>
      <c r="L220" s="87">
        <f>IF((SUM($D220:K220)+$B220/$C220)&gt;$B220,$B220-SUM($D220:K220),$B220/$C220)</f>
        <v>2159.9412597324417</v>
      </c>
      <c r="M220" s="87">
        <f>IF((SUM($D220:L220)+$B220/$C220)&gt;$B220,$B220-SUM($D220:L220),$B220/$C220)</f>
        <v>2159.9412597324417</v>
      </c>
      <c r="N220" s="87">
        <f>IF((SUM($D220:M220)+$B220/$C220)&gt;$B220,$B220-SUM($D220:M220),$B220/$C220)</f>
        <v>2159.9412597324417</v>
      </c>
      <c r="O220" s="87">
        <f>IF((SUM($D220:N220)+$B220/$C220)&gt;$B220,$B220-SUM($D220:N220),$B220/$C220)</f>
        <v>2159.9412597324417</v>
      </c>
      <c r="P220" s="87">
        <f>IF((SUM($D220:O220)+$B220/$C220)&gt;$B220,$B220-SUM($D220:O220),$B220/$C220)</f>
        <v>2159.9412597324417</v>
      </c>
      <c r="Q220" s="87">
        <f>IF((SUM($D220:P220)+$B220/$C220)&gt;$B220,$B220-SUM($D220:P220),$B220/$C220)</f>
        <v>2159.9412597324417</v>
      </c>
      <c r="R220" s="87">
        <f>IF((SUM($D220:Q220)+$B220/$C220)&gt;$B220,$B220-SUM($D220:Q220),$B220/$C220)</f>
        <v>2159.9412597324417</v>
      </c>
      <c r="S220" s="87">
        <f>IF((SUM($D220:R220)+$B220/$C220)&gt;$B220,$B220-SUM($D220:R220),$B220/$C220)</f>
        <v>2159.9412597324417</v>
      </c>
      <c r="T220" s="87">
        <f>IF((SUM($D220:S220)+$B220/$C220)&gt;$B220,$B220-SUM($D220:S220),$B220/$C220)</f>
        <v>2159.9412597324417</v>
      </c>
      <c r="U220" s="87">
        <f>IF((SUM($D220:T220)+$B220/$C220)&gt;$B220,$B220-SUM($D220:T220),$B220/$C220)</f>
        <v>2159.9412597324417</v>
      </c>
      <c r="V220" s="87">
        <f>IF((SUM($D220:U220)+$B220/$C220)&gt;$B220,$B220-SUM($D220:U220),$B220/$C220)</f>
        <v>2159.9412597324417</v>
      </c>
      <c r="W220" s="87">
        <f>IF((SUM($D220:V220)+$B220/$C220)&gt;$B220,$B220-SUM($D220:V220),$B220/$C220)</f>
        <v>2159.9412597324417</v>
      </c>
      <c r="X220" s="87">
        <f>IF((SUM($D220:W220)+$B220/$C220)&gt;$B220,$B220-SUM($D220:W220),$B220/$C220)</f>
        <v>1079.9706298662313</v>
      </c>
      <c r="Y220" s="87">
        <f>IF((SUM($D220:X220)+$B220/$C220)&gt;$B220,$B220-SUM($D220:X220),$B220/$C220)</f>
        <v>0</v>
      </c>
      <c r="Z220" s="87">
        <f>IF((SUM($D220:Y220)+$B220/$C220)&gt;$B220,$B220-SUM($D220:Y220),$B220/$C220)</f>
        <v>0</v>
      </c>
      <c r="AA220" s="87">
        <f>IF((SUM($D220:Z220)+$B220/$C220)&gt;$B220,$B220-SUM($D220:Z220),$B220/$C220)</f>
        <v>0</v>
      </c>
    </row>
    <row r="221" spans="1:27" outlineLevel="1" x14ac:dyDescent="0.25">
      <c r="A221" s="469">
        <v>2015</v>
      </c>
      <c r="B221" s="471">
        <f>J$182</f>
        <v>5213.3076472824459</v>
      </c>
      <c r="C221" s="470">
        <f>'Data 2009-15 (Real $2008)'!C$154</f>
        <v>15</v>
      </c>
      <c r="D221" s="480"/>
      <c r="E221" s="480"/>
      <c r="F221" s="480"/>
      <c r="G221" s="480"/>
      <c r="H221" s="480"/>
      <c r="I221" s="480"/>
      <c r="J221" s="87">
        <f>IF($C221=1,$B221,$B221/2/$C221)</f>
        <v>173.77692157608152</v>
      </c>
      <c r="K221" s="87">
        <f>IF((SUM($D221:J221)+$B221/$C221)&gt;$B221,$B221-SUM($D221:J221),$B221/$C221)</f>
        <v>347.55384315216304</v>
      </c>
      <c r="L221" s="87">
        <f>IF((SUM($D221:K221)+$B221/$C221)&gt;$B221,$B221-SUM($D221:K221),$B221/$C221)</f>
        <v>347.55384315216304</v>
      </c>
      <c r="M221" s="87">
        <f>IF((SUM($D221:L221)+$B221/$C221)&gt;$B221,$B221-SUM($D221:L221),$B221/$C221)</f>
        <v>347.55384315216304</v>
      </c>
      <c r="N221" s="87">
        <f>IF((SUM($D221:M221)+$B221/$C221)&gt;$B221,$B221-SUM($D221:M221),$B221/$C221)</f>
        <v>347.55384315216304</v>
      </c>
      <c r="O221" s="87">
        <f>IF((SUM($D221:N221)+$B221/$C221)&gt;$B221,$B221-SUM($D221:N221),$B221/$C221)</f>
        <v>347.55384315216304</v>
      </c>
      <c r="P221" s="87">
        <f>IF((SUM($D221:O221)+$B221/$C221)&gt;$B221,$B221-SUM($D221:O221),$B221/$C221)</f>
        <v>347.55384315216304</v>
      </c>
      <c r="Q221" s="87">
        <f>IF((SUM($D221:P221)+$B221/$C221)&gt;$B221,$B221-SUM($D221:P221),$B221/$C221)</f>
        <v>347.55384315216304</v>
      </c>
      <c r="R221" s="87">
        <f>IF((SUM($D221:Q221)+$B221/$C221)&gt;$B221,$B221-SUM($D221:Q221),$B221/$C221)</f>
        <v>347.55384315216304</v>
      </c>
      <c r="S221" s="87">
        <f>IF((SUM($D221:R221)+$B221/$C221)&gt;$B221,$B221-SUM($D221:R221),$B221/$C221)</f>
        <v>347.55384315216304</v>
      </c>
      <c r="T221" s="87">
        <f>IF((SUM($D221:S221)+$B221/$C221)&gt;$B221,$B221-SUM($D221:S221),$B221/$C221)</f>
        <v>347.55384315216304</v>
      </c>
      <c r="U221" s="87">
        <f>IF((SUM($D221:T221)+$B221/$C221)&gt;$B221,$B221-SUM($D221:T221),$B221/$C221)</f>
        <v>347.55384315216304</v>
      </c>
      <c r="V221" s="87">
        <f>IF((SUM($D221:U221)+$B221/$C221)&gt;$B221,$B221-SUM($D221:U221),$B221/$C221)</f>
        <v>347.55384315216304</v>
      </c>
      <c r="W221" s="87">
        <f>IF((SUM($D221:V221)+$B221/$C221)&gt;$B221,$B221-SUM($D221:V221),$B221/$C221)</f>
        <v>347.55384315216304</v>
      </c>
      <c r="X221" s="87">
        <f>IF((SUM($D221:W221)+$B221/$C221)&gt;$B221,$B221-SUM($D221:W221),$B221/$C221)</f>
        <v>347.55384315216304</v>
      </c>
      <c r="Y221" s="87">
        <f>IF((SUM($D221:X221)+$B221/$C221)&gt;$B221,$B221-SUM($D221:X221),$B221/$C221)</f>
        <v>173.7769215760818</v>
      </c>
      <c r="Z221" s="87">
        <f>IF((SUM($D221:Y221)+$B221/$C221)&gt;$B221,$B221-SUM($D221:Y221),$B221/$C221)</f>
        <v>0</v>
      </c>
      <c r="AA221" s="87">
        <f>IF((SUM($D221:Z221)+$B221/$C221)&gt;$B221,$B221-SUM($D221:Z221),$B221/$C221)</f>
        <v>0</v>
      </c>
    </row>
    <row r="222" spans="1:27" s="469" customFormat="1" outlineLevel="1" x14ac:dyDescent="0.25">
      <c r="B222" s="472">
        <f>SUM(B215:B221)</f>
        <v>302179.30318476737</v>
      </c>
      <c r="D222" s="697">
        <f t="shared" ref="D222:AA222" si="70">SUM(D215:D221)</f>
        <v>38.661007232032034</v>
      </c>
      <c r="E222" s="697">
        <f t="shared" si="70"/>
        <v>1008.3456962978333</v>
      </c>
      <c r="F222" s="697">
        <f t="shared" si="70"/>
        <v>4387.5566833826124</v>
      </c>
      <c r="G222" s="697">
        <f t="shared" si="70"/>
        <v>9506.1401352774337</v>
      </c>
      <c r="H222" s="697">
        <f t="shared" si="70"/>
        <v>14907.164029010566</v>
      </c>
      <c r="I222" s="697">
        <f t="shared" si="70"/>
        <v>18717.762405966107</v>
      </c>
      <c r="J222" s="697">
        <f t="shared" si="70"/>
        <v>19971.509957408409</v>
      </c>
      <c r="K222" s="697">
        <f t="shared" si="70"/>
        <v>20145.286878984491</v>
      </c>
      <c r="L222" s="697">
        <f t="shared" si="70"/>
        <v>20145.286878984491</v>
      </c>
      <c r="M222" s="697">
        <f t="shared" si="70"/>
        <v>20145.286878984491</v>
      </c>
      <c r="N222" s="697">
        <f t="shared" si="70"/>
        <v>20145.286878984491</v>
      </c>
      <c r="O222" s="697">
        <f t="shared" si="70"/>
        <v>20145.286878984491</v>
      </c>
      <c r="P222" s="697">
        <f t="shared" si="70"/>
        <v>20145.286878984491</v>
      </c>
      <c r="Q222" s="697">
        <f t="shared" si="70"/>
        <v>20145.286878984491</v>
      </c>
      <c r="R222" s="697">
        <f t="shared" si="70"/>
        <v>20145.286878984491</v>
      </c>
      <c r="S222" s="697">
        <f t="shared" si="70"/>
        <v>20106.625871752458</v>
      </c>
      <c r="T222" s="697">
        <f t="shared" si="70"/>
        <v>19136.941182686664</v>
      </c>
      <c r="U222" s="697">
        <f t="shared" si="70"/>
        <v>15757.730195601889</v>
      </c>
      <c r="V222" s="697">
        <f t="shared" si="70"/>
        <v>10639.14674370705</v>
      </c>
      <c r="W222" s="697">
        <f t="shared" si="70"/>
        <v>5238.1228499739591</v>
      </c>
      <c r="X222" s="697">
        <f t="shared" si="70"/>
        <v>1427.5244730183945</v>
      </c>
      <c r="Y222" s="697">
        <f t="shared" si="70"/>
        <v>173.7769215760818</v>
      </c>
      <c r="Z222" s="697">
        <f t="shared" si="70"/>
        <v>0</v>
      </c>
      <c r="AA222" s="697">
        <f t="shared" si="70"/>
        <v>0</v>
      </c>
    </row>
    <row r="223" spans="1:27" outlineLevel="1" x14ac:dyDescent="0.25">
      <c r="A223" s="465"/>
      <c r="B223" s="465"/>
      <c r="C223" s="465"/>
      <c r="D223" s="465"/>
      <c r="E223" s="465"/>
      <c r="F223" s="465"/>
      <c r="G223" s="465"/>
      <c r="H223" s="465"/>
      <c r="I223" s="465"/>
    </row>
    <row r="224" spans="1:27" outlineLevel="1" x14ac:dyDescent="0.25">
      <c r="A224" s="465"/>
      <c r="B224" s="465"/>
      <c r="C224" s="465"/>
      <c r="D224" s="465"/>
      <c r="E224" s="465"/>
      <c r="F224" s="465"/>
      <c r="G224" s="465"/>
      <c r="H224" s="465"/>
      <c r="I224" s="465"/>
    </row>
    <row r="225" spans="1:27" outlineLevel="1" x14ac:dyDescent="0.25">
      <c r="A225" s="346" t="s">
        <v>277</v>
      </c>
      <c r="B225" s="473" t="s">
        <v>325</v>
      </c>
      <c r="C225" s="308" t="s">
        <v>7</v>
      </c>
      <c r="D225" s="468">
        <f>D$4</f>
        <v>2009</v>
      </c>
      <c r="E225" s="468">
        <f t="shared" ref="E225:AA225" si="71">E$4</f>
        <v>2010</v>
      </c>
      <c r="F225" s="468">
        <f t="shared" si="71"/>
        <v>2011</v>
      </c>
      <c r="G225" s="468">
        <f t="shared" si="71"/>
        <v>2012</v>
      </c>
      <c r="H225" s="468">
        <f t="shared" si="71"/>
        <v>2013</v>
      </c>
      <c r="I225" s="468">
        <f t="shared" si="71"/>
        <v>2014</v>
      </c>
      <c r="J225" s="468">
        <f t="shared" si="71"/>
        <v>2015</v>
      </c>
      <c r="K225" s="468">
        <f t="shared" si="71"/>
        <v>2016</v>
      </c>
      <c r="L225" s="468">
        <f t="shared" si="71"/>
        <v>2017</v>
      </c>
      <c r="M225" s="468">
        <f t="shared" si="71"/>
        <v>2018</v>
      </c>
      <c r="N225" s="468">
        <f t="shared" si="71"/>
        <v>2019</v>
      </c>
      <c r="O225" s="468">
        <f t="shared" si="71"/>
        <v>2020</v>
      </c>
      <c r="P225" s="468">
        <f t="shared" si="71"/>
        <v>2021</v>
      </c>
      <c r="Q225" s="468">
        <f t="shared" si="71"/>
        <v>2022</v>
      </c>
      <c r="R225" s="468">
        <f t="shared" si="71"/>
        <v>2023</v>
      </c>
      <c r="S225" s="468">
        <f t="shared" si="71"/>
        <v>2024</v>
      </c>
      <c r="T225" s="468">
        <f t="shared" si="71"/>
        <v>2025</v>
      </c>
      <c r="U225" s="468">
        <f t="shared" si="71"/>
        <v>2026</v>
      </c>
      <c r="V225" s="468">
        <f t="shared" si="71"/>
        <v>2027</v>
      </c>
      <c r="W225" s="468">
        <f t="shared" si="71"/>
        <v>2028</v>
      </c>
      <c r="X225" s="468">
        <f t="shared" si="71"/>
        <v>2029</v>
      </c>
      <c r="Y225" s="468">
        <f t="shared" si="71"/>
        <v>2030</v>
      </c>
      <c r="Z225" s="468">
        <f t="shared" si="71"/>
        <v>2031</v>
      </c>
      <c r="AA225" s="468">
        <f t="shared" si="71"/>
        <v>2032</v>
      </c>
    </row>
    <row r="226" spans="1:27" outlineLevel="1" x14ac:dyDescent="0.25">
      <c r="A226" s="346" t="str">
        <f>$A$4</f>
        <v>($000 Real 2008)</v>
      </c>
      <c r="B226" s="474" t="s">
        <v>326</v>
      </c>
      <c r="C226" s="475" t="s">
        <v>322</v>
      </c>
      <c r="D226" s="460"/>
      <c r="E226" s="460"/>
      <c r="F226" s="460"/>
      <c r="G226" s="460"/>
      <c r="H226" s="460"/>
      <c r="I226" s="460"/>
      <c r="J226" s="460"/>
    </row>
    <row r="227" spans="1:27" outlineLevel="1" x14ac:dyDescent="0.25">
      <c r="A227" s="469">
        <v>2009</v>
      </c>
      <c r="B227" s="471">
        <f>D$183</f>
        <v>25201.355539974094</v>
      </c>
      <c r="C227" s="470">
        <f>'Data 2009-15 (Real $2008)'!C$155</f>
        <v>7</v>
      </c>
      <c r="D227" s="87">
        <f>IF(C227&lt;1,B227,B227/2/C227)</f>
        <v>1800.096824283864</v>
      </c>
      <c r="E227" s="87">
        <f>IF((SUM($D227:D227)+$B227/$C227)&gt;$B227,$B227-SUM($D227:D227),$B227/$C227)</f>
        <v>3600.1936485677279</v>
      </c>
      <c r="F227" s="87">
        <f>IF((SUM($D227:E227)+$B227/$C227)&gt;$B227,$B227-SUM($D227:E227),$B227/$C227)</f>
        <v>3600.1936485677279</v>
      </c>
      <c r="G227" s="87">
        <f>IF((SUM($D227:F227)+$B227/$C227)&gt;$B227,$B227-SUM($D227:F227),$B227/$C227)</f>
        <v>3600.1936485677279</v>
      </c>
      <c r="H227" s="87">
        <f>IF((SUM($D227:G227)+$B227/$C227)&gt;$B227,$B227-SUM($D227:G227),$B227/$C227)</f>
        <v>3600.1936485677279</v>
      </c>
      <c r="I227" s="87">
        <f>IF((SUM($D227:H227)+$B227/$C227)&gt;$B227,$B227-SUM($D227:H227),$B227/$C227)</f>
        <v>3600.1936485677279</v>
      </c>
      <c r="J227" s="87">
        <f>IF((SUM($D227:I227)+$B227/$C227)&gt;$B227,$B227-SUM($D227:I227),$B227/$C227)</f>
        <v>3600.1936485677279</v>
      </c>
      <c r="K227" s="87">
        <f>IF((SUM($D227:J227)+$B227/$C227)&gt;$B227,$B227-SUM($D227:J227),$B227/$C227)</f>
        <v>1800.0968242838608</v>
      </c>
      <c r="L227" s="87">
        <f>IF((SUM($D227:K227)+$B227/$C227)&gt;$B227,$B227-SUM($D227:K227),$B227/$C227)</f>
        <v>0</v>
      </c>
      <c r="M227" s="87">
        <f>IF((SUM($D227:L227)+$B227/$C227)&gt;$B227,$B227-SUM($D227:L227),$B227/$C227)</f>
        <v>0</v>
      </c>
      <c r="N227" s="87">
        <f>IF((SUM($D227:M227)+$B227/$C227)&gt;$B227,$B227-SUM($D227:M227),$B227/$C227)</f>
        <v>0</v>
      </c>
      <c r="O227" s="87">
        <f>IF((SUM($D227:N227)+$B227/$C227)&gt;$B227,$B227-SUM($D227:N227),$B227/$C227)</f>
        <v>0</v>
      </c>
      <c r="P227" s="87">
        <f>IF((SUM($D227:O227)+$B227/$C227)&gt;$B227,$B227-SUM($D227:O227),$B227/$C227)</f>
        <v>0</v>
      </c>
      <c r="Q227" s="87">
        <f>IF((SUM($D227:P227)+$B227/$C227)&gt;$B227,$B227-SUM($D227:P227),$B227/$C227)</f>
        <v>0</v>
      </c>
      <c r="R227" s="87">
        <f>IF((SUM($D227:Q227)+$B227/$C227)&gt;$B227,$B227-SUM($D227:Q227),$B227/$C227)</f>
        <v>0</v>
      </c>
      <c r="S227" s="87">
        <f>IF((SUM($D227:R227)+$B227/$C227)&gt;$B227,$B227-SUM($D227:R227),$B227/$C227)</f>
        <v>0</v>
      </c>
      <c r="T227" s="87">
        <f>IF((SUM($D227:S227)+$B227/$C227)&gt;$B227,$B227-SUM($D227:S227),$B227/$C227)</f>
        <v>0</v>
      </c>
      <c r="U227" s="87">
        <f>IF((SUM($D227:T227)+$B227/$C227)&gt;$B227,$B227-SUM($D227:T227),$B227/$C227)</f>
        <v>0</v>
      </c>
      <c r="V227" s="87">
        <f>IF((SUM($D227:U227)+$B227/$C227)&gt;$B227,$B227-SUM($D227:U227),$B227/$C227)</f>
        <v>0</v>
      </c>
      <c r="W227" s="87">
        <f>IF((SUM($D227:V227)+$B227/$C227)&gt;$B227,$B227-SUM($D227:V227),$B227/$C227)</f>
        <v>0</v>
      </c>
      <c r="X227" s="87">
        <f>IF((SUM($D227:W227)+$B227/$C227)&gt;$B227,$B227-SUM($D227:W227),$B227/$C227)</f>
        <v>0</v>
      </c>
      <c r="Y227" s="87">
        <f>IF((SUM($D227:X227)+$B227/$C227)&gt;$B227,$B227-SUM($D227:X227),$B227/$C227)</f>
        <v>0</v>
      </c>
      <c r="Z227" s="87">
        <f>IF((SUM($D227:Y227)+$B227/$C227)&gt;$B227,$B227-SUM($D227:Y227),$B227/$C227)</f>
        <v>0</v>
      </c>
      <c r="AA227" s="87">
        <f>IF((SUM($D227:Z227)+$B227/$C227)&gt;$B227,$B227-SUM($D227:Z227),$B227/$C227)</f>
        <v>0</v>
      </c>
    </row>
    <row r="228" spans="1:27" outlineLevel="1" x14ac:dyDescent="0.25">
      <c r="A228" s="469">
        <v>2010</v>
      </c>
      <c r="B228" s="471">
        <f>E$183</f>
        <v>36524.471515568075</v>
      </c>
      <c r="C228" s="470">
        <f>'Data 2009-15 (Real $2008)'!C$155</f>
        <v>7</v>
      </c>
      <c r="D228" s="480"/>
      <c r="E228" s="87">
        <f>IF(C228&lt;1,B228,B228/2/C228)</f>
        <v>2608.8908225405767</v>
      </c>
      <c r="F228" s="87">
        <f>IF((SUM($D228:E228)+$B228/$C228)&gt;$B228,$B228-SUM($D228:E228),$B228/$C228)</f>
        <v>5217.7816450811533</v>
      </c>
      <c r="G228" s="87">
        <f>IF((SUM($D228:F228)+$B228/$C228)&gt;$B228,$B228-SUM($D228:F228),$B228/$C228)</f>
        <v>5217.7816450811533</v>
      </c>
      <c r="H228" s="87">
        <f>IF((SUM($D228:G228)+$B228/$C228)&gt;$B228,$B228-SUM($D228:G228),$B228/$C228)</f>
        <v>5217.7816450811533</v>
      </c>
      <c r="I228" s="87">
        <f>IF((SUM($D228:H228)+$B228/$C228)&gt;$B228,$B228-SUM($D228:H228),$B228/$C228)</f>
        <v>5217.7816450811533</v>
      </c>
      <c r="J228" s="87">
        <f>IF((SUM($D228:I228)+$B228/$C228)&gt;$B228,$B228-SUM($D228:I228),$B228/$C228)</f>
        <v>5217.7816450811533</v>
      </c>
      <c r="K228" s="87">
        <f>IF((SUM($D228:J228)+$B228/$C228)&gt;$B228,$B228-SUM($D228:J228),$B228/$C228)</f>
        <v>5217.7816450811533</v>
      </c>
      <c r="L228" s="87">
        <f>IF((SUM($D228:K228)+$B228/$C228)&gt;$B228,$B228-SUM($D228:K228),$B228/$C228)</f>
        <v>2608.890822540583</v>
      </c>
      <c r="M228" s="87">
        <f>IF((SUM($D228:L228)+$B228/$C228)&gt;$B228,$B228-SUM($D228:L228),$B228/$C228)</f>
        <v>0</v>
      </c>
      <c r="N228" s="87">
        <f>IF((SUM($D228:M228)+$B228/$C228)&gt;$B228,$B228-SUM($D228:M228),$B228/$C228)</f>
        <v>0</v>
      </c>
      <c r="O228" s="87">
        <f>IF((SUM($D228:N228)+$B228/$C228)&gt;$B228,$B228-SUM($D228:N228),$B228/$C228)</f>
        <v>0</v>
      </c>
      <c r="P228" s="87">
        <f>IF((SUM($D228:O228)+$B228/$C228)&gt;$B228,$B228-SUM($D228:O228),$B228/$C228)</f>
        <v>0</v>
      </c>
      <c r="Q228" s="87">
        <f>IF((SUM($D228:P228)+$B228/$C228)&gt;$B228,$B228-SUM($D228:P228),$B228/$C228)</f>
        <v>0</v>
      </c>
      <c r="R228" s="87">
        <f>IF((SUM($D228:Q228)+$B228/$C228)&gt;$B228,$B228-SUM($D228:Q228),$B228/$C228)</f>
        <v>0</v>
      </c>
      <c r="S228" s="87">
        <f>IF((SUM($D228:R228)+$B228/$C228)&gt;$B228,$B228-SUM($D228:R228),$B228/$C228)</f>
        <v>0</v>
      </c>
      <c r="T228" s="87">
        <f>IF((SUM($D228:S228)+$B228/$C228)&gt;$B228,$B228-SUM($D228:S228),$B228/$C228)</f>
        <v>0</v>
      </c>
      <c r="U228" s="87">
        <f>IF((SUM($D228:T228)+$B228/$C228)&gt;$B228,$B228-SUM($D228:T228),$B228/$C228)</f>
        <v>0</v>
      </c>
      <c r="V228" s="87">
        <f>IF((SUM($D228:U228)+$B228/$C228)&gt;$B228,$B228-SUM($D228:U228),$B228/$C228)</f>
        <v>0</v>
      </c>
      <c r="W228" s="87">
        <f>IF((SUM($D228:V228)+$B228/$C228)&gt;$B228,$B228-SUM($D228:V228),$B228/$C228)</f>
        <v>0</v>
      </c>
      <c r="X228" s="87">
        <f>IF((SUM($D228:W228)+$B228/$C228)&gt;$B228,$B228-SUM($D228:W228),$B228/$C228)</f>
        <v>0</v>
      </c>
      <c r="Y228" s="87">
        <f>IF((SUM($D228:X228)+$B228/$C228)&gt;$B228,$B228-SUM($D228:X228),$B228/$C228)</f>
        <v>0</v>
      </c>
      <c r="Z228" s="87">
        <f>IF((SUM($D228:Y228)+$B228/$C228)&gt;$B228,$B228-SUM($D228:Y228),$B228/$C228)</f>
        <v>0</v>
      </c>
      <c r="AA228" s="87">
        <f>IF((SUM($D228:Z228)+$B228/$C228)&gt;$B228,$B228-SUM($D228:Z228),$B228/$C228)</f>
        <v>0</v>
      </c>
    </row>
    <row r="229" spans="1:27" outlineLevel="1" x14ac:dyDescent="0.25">
      <c r="A229" s="469">
        <v>2011</v>
      </c>
      <c r="B229" s="471">
        <f>F$183</f>
        <v>21261.434569870315</v>
      </c>
      <c r="C229" s="470">
        <f>'Data 2009-15 (Real $2008)'!C$155</f>
        <v>7</v>
      </c>
      <c r="D229" s="480"/>
      <c r="E229" s="480"/>
      <c r="F229" s="87">
        <f>IF(C229&lt;1,B229,B229/2/C229)</f>
        <v>1518.6738978478795</v>
      </c>
      <c r="G229" s="87">
        <f>IF((SUM($D229:F229)+$B229/$C229)&gt;$B229,$B229-SUM($D229:F229),$B229/$C229)</f>
        <v>3037.347795695759</v>
      </c>
      <c r="H229" s="87">
        <f>IF((SUM($D229:G229)+$B229/$C229)&gt;$B229,$B229-SUM($D229:G229),$B229/$C229)</f>
        <v>3037.347795695759</v>
      </c>
      <c r="I229" s="87">
        <f>IF((SUM($D229:H229)+$B229/$C229)&gt;$B229,$B229-SUM($D229:H229),$B229/$C229)</f>
        <v>3037.347795695759</v>
      </c>
      <c r="J229" s="87">
        <f>IF((SUM($D229:I229)+$B229/$C229)&gt;$B229,$B229-SUM($D229:I229),$B229/$C229)</f>
        <v>3037.347795695759</v>
      </c>
      <c r="K229" s="87">
        <f>IF((SUM($D229:J229)+$B229/$C229)&gt;$B229,$B229-SUM($D229:J229),$B229/$C229)</f>
        <v>3037.347795695759</v>
      </c>
      <c r="L229" s="87">
        <f>IF((SUM($D229:K229)+$B229/$C229)&gt;$B229,$B229-SUM($D229:K229),$B229/$C229)</f>
        <v>3037.347795695759</v>
      </c>
      <c r="M229" s="87">
        <f>IF((SUM($D229:L229)+$B229/$C229)&gt;$B229,$B229-SUM($D229:L229),$B229/$C229)</f>
        <v>1518.6738978478825</v>
      </c>
      <c r="N229" s="87">
        <f>IF((SUM($D229:M229)+$B229/$C229)&gt;$B229,$B229-SUM($D229:M229),$B229/$C229)</f>
        <v>0</v>
      </c>
      <c r="O229" s="87">
        <f>IF((SUM($D229:N229)+$B229/$C229)&gt;$B229,$B229-SUM($D229:N229),$B229/$C229)</f>
        <v>0</v>
      </c>
      <c r="P229" s="87">
        <f>IF((SUM($D229:O229)+$B229/$C229)&gt;$B229,$B229-SUM($D229:O229),$B229/$C229)</f>
        <v>0</v>
      </c>
      <c r="Q229" s="87">
        <f>IF((SUM($D229:P229)+$B229/$C229)&gt;$B229,$B229-SUM($D229:P229),$B229/$C229)</f>
        <v>0</v>
      </c>
      <c r="R229" s="87">
        <f>IF((SUM($D229:Q229)+$B229/$C229)&gt;$B229,$B229-SUM($D229:Q229),$B229/$C229)</f>
        <v>0</v>
      </c>
      <c r="S229" s="87">
        <f>IF((SUM($D229:R229)+$B229/$C229)&gt;$B229,$B229-SUM($D229:R229),$B229/$C229)</f>
        <v>0</v>
      </c>
      <c r="T229" s="87">
        <f>IF((SUM($D229:S229)+$B229/$C229)&gt;$B229,$B229-SUM($D229:S229),$B229/$C229)</f>
        <v>0</v>
      </c>
      <c r="U229" s="87">
        <f>IF((SUM($D229:T229)+$B229/$C229)&gt;$B229,$B229-SUM($D229:T229),$B229/$C229)</f>
        <v>0</v>
      </c>
      <c r="V229" s="87">
        <f>IF((SUM($D229:U229)+$B229/$C229)&gt;$B229,$B229-SUM($D229:U229),$B229/$C229)</f>
        <v>0</v>
      </c>
      <c r="W229" s="87">
        <f>IF((SUM($D229:V229)+$B229/$C229)&gt;$B229,$B229-SUM($D229:V229),$B229/$C229)</f>
        <v>0</v>
      </c>
      <c r="X229" s="87">
        <f>IF((SUM($D229:W229)+$B229/$C229)&gt;$B229,$B229-SUM($D229:W229),$B229/$C229)</f>
        <v>0</v>
      </c>
      <c r="Y229" s="87">
        <f>IF((SUM($D229:X229)+$B229/$C229)&gt;$B229,$B229-SUM($D229:X229),$B229/$C229)</f>
        <v>0</v>
      </c>
      <c r="Z229" s="87">
        <f>IF((SUM($D229:Y229)+$B229/$C229)&gt;$B229,$B229-SUM($D229:Y229),$B229/$C229)</f>
        <v>0</v>
      </c>
      <c r="AA229" s="87">
        <f>IF((SUM($D229:Z229)+$B229/$C229)&gt;$B229,$B229-SUM($D229:Z229),$B229/$C229)</f>
        <v>0</v>
      </c>
    </row>
    <row r="230" spans="1:27" outlineLevel="1" x14ac:dyDescent="0.25">
      <c r="A230" s="469">
        <v>2012</v>
      </c>
      <c r="B230" s="471">
        <f>G$183</f>
        <v>21785.439711631407</v>
      </c>
      <c r="C230" s="470">
        <f>'Data 2009-15 (Real $2008)'!C$155</f>
        <v>7</v>
      </c>
      <c r="D230" s="480"/>
      <c r="E230" s="480"/>
      <c r="F230" s="480"/>
      <c r="G230" s="87">
        <f>IF($C230=1,$B230,$B230/2/$C230)</f>
        <v>1556.1028365451004</v>
      </c>
      <c r="H230" s="87">
        <f>IF((SUM($D230:G230)+$B230/$C230)&gt;$B230,$B230-SUM($D230:G230),$B230/$C230)</f>
        <v>3112.2056730902009</v>
      </c>
      <c r="I230" s="87">
        <f>IF((SUM($D230:H230)+$B230/$C230)&gt;$B230,$B230-SUM($D230:H230),$B230/$C230)</f>
        <v>3112.2056730902009</v>
      </c>
      <c r="J230" s="87">
        <f>IF((SUM($D230:I230)+$B230/$C230)&gt;$B230,$B230-SUM($D230:I230),$B230/$C230)</f>
        <v>3112.2056730902009</v>
      </c>
      <c r="K230" s="87">
        <f>IF((SUM($D230:J230)+$B230/$C230)&gt;$B230,$B230-SUM($D230:J230),$B230/$C230)</f>
        <v>3112.2056730902009</v>
      </c>
      <c r="L230" s="87">
        <f>IF((SUM($D230:K230)+$B230/$C230)&gt;$B230,$B230-SUM($D230:K230),$B230/$C230)</f>
        <v>3112.2056730902009</v>
      </c>
      <c r="M230" s="87">
        <f>IF((SUM($D230:L230)+$B230/$C230)&gt;$B230,$B230-SUM($D230:L230),$B230/$C230)</f>
        <v>3112.2056730902009</v>
      </c>
      <c r="N230" s="87">
        <f>IF((SUM($D230:M230)+$B230/$C230)&gt;$B230,$B230-SUM($D230:M230),$B230/$C230)</f>
        <v>1556.102836545102</v>
      </c>
      <c r="O230" s="87">
        <f>IF((SUM($D230:N230)+$B230/$C230)&gt;$B230,$B230-SUM($D230:N230),$B230/$C230)</f>
        <v>0</v>
      </c>
      <c r="P230" s="87">
        <f>IF((SUM($D230:O230)+$B230/$C230)&gt;$B230,$B230-SUM($D230:O230),$B230/$C230)</f>
        <v>0</v>
      </c>
      <c r="Q230" s="87">
        <f>IF((SUM($D230:P230)+$B230/$C230)&gt;$B230,$B230-SUM($D230:P230),$B230/$C230)</f>
        <v>0</v>
      </c>
      <c r="R230" s="87">
        <f>IF((SUM($D230:Q230)+$B230/$C230)&gt;$B230,$B230-SUM($D230:Q230),$B230/$C230)</f>
        <v>0</v>
      </c>
      <c r="S230" s="87">
        <f>IF((SUM($D230:R230)+$B230/$C230)&gt;$B230,$B230-SUM($D230:R230),$B230/$C230)</f>
        <v>0</v>
      </c>
      <c r="T230" s="87">
        <f>IF((SUM($D230:S230)+$B230/$C230)&gt;$B230,$B230-SUM($D230:S230),$B230/$C230)</f>
        <v>0</v>
      </c>
      <c r="U230" s="87">
        <f>IF((SUM($D230:T230)+$B230/$C230)&gt;$B230,$B230-SUM($D230:T230),$B230/$C230)</f>
        <v>0</v>
      </c>
      <c r="V230" s="87">
        <f>IF((SUM($D230:U230)+$B230/$C230)&gt;$B230,$B230-SUM($D230:U230),$B230/$C230)</f>
        <v>0</v>
      </c>
      <c r="W230" s="87">
        <f>IF((SUM($D230:V230)+$B230/$C230)&gt;$B230,$B230-SUM($D230:V230),$B230/$C230)</f>
        <v>0</v>
      </c>
      <c r="X230" s="87">
        <f>IF((SUM($D230:W230)+$B230/$C230)&gt;$B230,$B230-SUM($D230:W230),$B230/$C230)</f>
        <v>0</v>
      </c>
      <c r="Y230" s="87">
        <f>IF((SUM($D230:X230)+$B230/$C230)&gt;$B230,$B230-SUM($D230:X230),$B230/$C230)</f>
        <v>0</v>
      </c>
      <c r="Z230" s="87">
        <f>IF((SUM($D230:Y230)+$B230/$C230)&gt;$B230,$B230-SUM($D230:Y230),$B230/$C230)</f>
        <v>0</v>
      </c>
      <c r="AA230" s="87">
        <f>IF((SUM($D230:Z230)+$B230/$C230)&gt;$B230,$B230-SUM($D230:Z230),$B230/$C230)</f>
        <v>0</v>
      </c>
    </row>
    <row r="231" spans="1:27" outlineLevel="1" x14ac:dyDescent="0.25">
      <c r="A231" s="469">
        <v>2013</v>
      </c>
      <c r="B231" s="471">
        <f>H$183</f>
        <v>7831.8045605887964</v>
      </c>
      <c r="C231" s="470">
        <f>'Data 2009-15 (Real $2008)'!C$155</f>
        <v>7</v>
      </c>
      <c r="D231" s="480"/>
      <c r="E231" s="480"/>
      <c r="F231" s="480"/>
      <c r="G231" s="480"/>
      <c r="H231" s="87">
        <f>IF($C231=1,$B231,$B231/2/$C231)</f>
        <v>559.4146114706283</v>
      </c>
      <c r="I231" s="87">
        <f>IF((SUM($D231:H231)+$B231/$C231)&gt;$B231,$B231-SUM($D231:H231),$B231/$C231)</f>
        <v>1118.8292229412566</v>
      </c>
      <c r="J231" s="87">
        <f>IF((SUM($D231:I231)+$B231/$C231)&gt;$B231,$B231-SUM($D231:I231),$B231/$C231)</f>
        <v>1118.8292229412566</v>
      </c>
      <c r="K231" s="87">
        <f>IF((SUM($D231:J231)+$B231/$C231)&gt;$B231,$B231-SUM($D231:J231),$B231/$C231)</f>
        <v>1118.8292229412566</v>
      </c>
      <c r="L231" s="87">
        <f>IF((SUM($D231:K231)+$B231/$C231)&gt;$B231,$B231-SUM($D231:K231),$B231/$C231)</f>
        <v>1118.8292229412566</v>
      </c>
      <c r="M231" s="87">
        <f>IF((SUM($D231:L231)+$B231/$C231)&gt;$B231,$B231-SUM($D231:L231),$B231/$C231)</f>
        <v>1118.8292229412566</v>
      </c>
      <c r="N231" s="87">
        <f>IF((SUM($D231:M231)+$B231/$C231)&gt;$B231,$B231-SUM($D231:M231),$B231/$C231)</f>
        <v>1118.8292229412566</v>
      </c>
      <c r="O231" s="87">
        <f>IF((SUM($D231:N231)+$B231/$C231)&gt;$B231,$B231-SUM($D231:N231),$B231/$C231)</f>
        <v>559.4146114706291</v>
      </c>
      <c r="P231" s="87">
        <f>IF((SUM($D231:O231)+$B231/$C231)&gt;$B231,$B231-SUM($D231:O231),$B231/$C231)</f>
        <v>0</v>
      </c>
      <c r="Q231" s="87">
        <f>IF((SUM($D231:P231)+$B231/$C231)&gt;$B231,$B231-SUM($D231:P231),$B231/$C231)</f>
        <v>0</v>
      </c>
      <c r="R231" s="87">
        <f>IF((SUM($D231:Q231)+$B231/$C231)&gt;$B231,$B231-SUM($D231:Q231),$B231/$C231)</f>
        <v>0</v>
      </c>
      <c r="S231" s="87">
        <f>IF((SUM($D231:R231)+$B231/$C231)&gt;$B231,$B231-SUM($D231:R231),$B231/$C231)</f>
        <v>0</v>
      </c>
      <c r="T231" s="87">
        <f>IF((SUM($D231:S231)+$B231/$C231)&gt;$B231,$B231-SUM($D231:S231),$B231/$C231)</f>
        <v>0</v>
      </c>
      <c r="U231" s="87">
        <f>IF((SUM($D231:T231)+$B231/$C231)&gt;$B231,$B231-SUM($D231:T231),$B231/$C231)</f>
        <v>0</v>
      </c>
      <c r="V231" s="87">
        <f>IF((SUM($D231:U231)+$B231/$C231)&gt;$B231,$B231-SUM($D231:U231),$B231/$C231)</f>
        <v>0</v>
      </c>
      <c r="W231" s="87">
        <f>IF((SUM($D231:V231)+$B231/$C231)&gt;$B231,$B231-SUM($D231:V231),$B231/$C231)</f>
        <v>0</v>
      </c>
      <c r="X231" s="87">
        <f>IF((SUM($D231:W231)+$B231/$C231)&gt;$B231,$B231-SUM($D231:W231),$B231/$C231)</f>
        <v>0</v>
      </c>
      <c r="Y231" s="87">
        <f>IF((SUM($D231:X231)+$B231/$C231)&gt;$B231,$B231-SUM($D231:X231),$B231/$C231)</f>
        <v>0</v>
      </c>
      <c r="Z231" s="87">
        <f>IF((SUM($D231:Y231)+$B231/$C231)&gt;$B231,$B231-SUM($D231:Y231),$B231/$C231)</f>
        <v>0</v>
      </c>
      <c r="AA231" s="87">
        <f>IF((SUM($D231:Z231)+$B231/$C231)&gt;$B231,$B231-SUM($D231:Z231),$B231/$C231)</f>
        <v>0</v>
      </c>
    </row>
    <row r="232" spans="1:27" outlineLevel="1" x14ac:dyDescent="0.25">
      <c r="A232" s="469">
        <v>2014</v>
      </c>
      <c r="B232" s="471">
        <f>I$183</f>
        <v>15009.573680214638</v>
      </c>
      <c r="C232" s="470">
        <f>'Data 2009-15 (Real $2008)'!C$155</f>
        <v>7</v>
      </c>
      <c r="D232" s="480"/>
      <c r="E232" s="480"/>
      <c r="F232" s="480"/>
      <c r="G232" s="480"/>
      <c r="H232" s="480"/>
      <c r="I232" s="87">
        <f>IF($C232=1,$B232,$B232/2/$C232)</f>
        <v>1072.112405729617</v>
      </c>
      <c r="J232" s="87">
        <f>IF((SUM($D232:I232)+$B232/$C232)&gt;$B232,$B232-SUM($D232:I232),$B232/$C232)</f>
        <v>2144.2248114592339</v>
      </c>
      <c r="K232" s="87">
        <f>IF((SUM($D232:J232)+$B232/$C232)&gt;$B232,$B232-SUM($D232:J232),$B232/$C232)</f>
        <v>2144.2248114592339</v>
      </c>
      <c r="L232" s="87">
        <f>IF((SUM($D232:K232)+$B232/$C232)&gt;$B232,$B232-SUM($D232:K232),$B232/$C232)</f>
        <v>2144.2248114592339</v>
      </c>
      <c r="M232" s="87">
        <f>IF((SUM($D232:L232)+$B232/$C232)&gt;$B232,$B232-SUM($D232:L232),$B232/$C232)</f>
        <v>2144.2248114592339</v>
      </c>
      <c r="N232" s="87">
        <f>IF((SUM($D232:M232)+$B232/$C232)&gt;$B232,$B232-SUM($D232:M232),$B232/$C232)</f>
        <v>2144.2248114592339</v>
      </c>
      <c r="O232" s="87">
        <f>IF((SUM($D232:N232)+$B232/$C232)&gt;$B232,$B232-SUM($D232:N232),$B232/$C232)</f>
        <v>2144.2248114592339</v>
      </c>
      <c r="P232" s="87">
        <f>IF((SUM($D232:O232)+$B232/$C232)&gt;$B232,$B232-SUM($D232:O232),$B232/$C232)</f>
        <v>1072.1124057296183</v>
      </c>
      <c r="Q232" s="87">
        <f>IF((SUM($D232:P232)+$B232/$C232)&gt;$B232,$B232-SUM($D232:P232),$B232/$C232)</f>
        <v>0</v>
      </c>
      <c r="R232" s="87">
        <f>IF((SUM($D232:Q232)+$B232/$C232)&gt;$B232,$B232-SUM($D232:Q232),$B232/$C232)</f>
        <v>0</v>
      </c>
      <c r="S232" s="87">
        <f>IF((SUM($D232:R232)+$B232/$C232)&gt;$B232,$B232-SUM($D232:R232),$B232/$C232)</f>
        <v>0</v>
      </c>
      <c r="T232" s="87">
        <f>IF((SUM($D232:S232)+$B232/$C232)&gt;$B232,$B232-SUM($D232:S232),$B232/$C232)</f>
        <v>0</v>
      </c>
      <c r="U232" s="87">
        <f>IF((SUM($D232:T232)+$B232/$C232)&gt;$B232,$B232-SUM($D232:T232),$B232/$C232)</f>
        <v>0</v>
      </c>
      <c r="V232" s="87">
        <f>IF((SUM($D232:U232)+$B232/$C232)&gt;$B232,$B232-SUM($D232:U232),$B232/$C232)</f>
        <v>0</v>
      </c>
      <c r="W232" s="87">
        <f>IF((SUM($D232:V232)+$B232/$C232)&gt;$B232,$B232-SUM($D232:V232),$B232/$C232)</f>
        <v>0</v>
      </c>
      <c r="X232" s="87">
        <f>IF((SUM($D232:W232)+$B232/$C232)&gt;$B232,$B232-SUM($D232:W232),$B232/$C232)</f>
        <v>0</v>
      </c>
      <c r="Y232" s="87">
        <f>IF((SUM($D232:X232)+$B232/$C232)&gt;$B232,$B232-SUM($D232:X232),$B232/$C232)</f>
        <v>0</v>
      </c>
      <c r="Z232" s="87">
        <f>IF((SUM($D232:Y232)+$B232/$C232)&gt;$B232,$B232-SUM($D232:Y232),$B232/$C232)</f>
        <v>0</v>
      </c>
      <c r="AA232" s="87">
        <f>IF((SUM($D232:Z232)+$B232/$C232)&gt;$B232,$B232-SUM($D232:Z232),$B232/$C232)</f>
        <v>0</v>
      </c>
    </row>
    <row r="233" spans="1:27" outlineLevel="1" x14ac:dyDescent="0.25">
      <c r="A233" s="469">
        <v>2015</v>
      </c>
      <c r="B233" s="471">
        <f>J$183</f>
        <v>34810.673000548355</v>
      </c>
      <c r="C233" s="470">
        <f>'Data 2009-15 (Real $2008)'!C$155</f>
        <v>7</v>
      </c>
      <c r="D233" s="480"/>
      <c r="E233" s="480"/>
      <c r="F233" s="480"/>
      <c r="G233" s="480"/>
      <c r="H233" s="480"/>
      <c r="I233" s="480"/>
      <c r="J233" s="87">
        <f>IF($C233=1,$B233,$B233/2/$C233)</f>
        <v>2486.4766428963112</v>
      </c>
      <c r="K233" s="87">
        <f>IF((SUM($D233:J233)+$B233/$C233)&gt;$B233,$B233-SUM($D233:J233),$B233/$C233)</f>
        <v>4972.9532857926224</v>
      </c>
      <c r="L233" s="87">
        <f>IF((SUM($D233:K233)+$B233/$C233)&gt;$B233,$B233-SUM($D233:K233),$B233/$C233)</f>
        <v>4972.9532857926224</v>
      </c>
      <c r="M233" s="87">
        <f>IF((SUM($D233:L233)+$B233/$C233)&gt;$B233,$B233-SUM($D233:L233),$B233/$C233)</f>
        <v>4972.9532857926224</v>
      </c>
      <c r="N233" s="87">
        <f>IF((SUM($D233:M233)+$B233/$C233)&gt;$B233,$B233-SUM($D233:M233),$B233/$C233)</f>
        <v>4972.9532857926224</v>
      </c>
      <c r="O233" s="87">
        <f>IF((SUM($D233:N233)+$B233/$C233)&gt;$B233,$B233-SUM($D233:N233),$B233/$C233)</f>
        <v>4972.9532857926224</v>
      </c>
      <c r="P233" s="87">
        <f>IF((SUM($D233:O233)+$B233/$C233)&gt;$B233,$B233-SUM($D233:O233),$B233/$C233)</f>
        <v>4972.9532857926224</v>
      </c>
      <c r="Q233" s="87">
        <f>IF((SUM($D233:P233)+$B233/$C233)&gt;$B233,$B233-SUM($D233:P233),$B233/$C233)</f>
        <v>2486.4766428963048</v>
      </c>
      <c r="R233" s="87">
        <f>IF((SUM($D233:Q233)+$B233/$C233)&gt;$B233,$B233-SUM($D233:Q233),$B233/$C233)</f>
        <v>0</v>
      </c>
      <c r="S233" s="87">
        <f>IF((SUM($D233:R233)+$B233/$C233)&gt;$B233,$B233-SUM($D233:R233),$B233/$C233)</f>
        <v>0</v>
      </c>
      <c r="T233" s="87">
        <f>IF((SUM($D233:S233)+$B233/$C233)&gt;$B233,$B233-SUM($D233:S233),$B233/$C233)</f>
        <v>0</v>
      </c>
      <c r="U233" s="87">
        <f>IF((SUM($D233:T233)+$B233/$C233)&gt;$B233,$B233-SUM($D233:T233),$B233/$C233)</f>
        <v>0</v>
      </c>
      <c r="V233" s="87">
        <f>IF((SUM($D233:U233)+$B233/$C233)&gt;$B233,$B233-SUM($D233:U233),$B233/$C233)</f>
        <v>0</v>
      </c>
      <c r="W233" s="87">
        <f>IF((SUM($D233:V233)+$B233/$C233)&gt;$B233,$B233-SUM($D233:V233),$B233/$C233)</f>
        <v>0</v>
      </c>
      <c r="X233" s="87">
        <f>IF((SUM($D233:W233)+$B233/$C233)&gt;$B233,$B233-SUM($D233:W233),$B233/$C233)</f>
        <v>0</v>
      </c>
      <c r="Y233" s="87">
        <f>IF((SUM($D233:X233)+$B233/$C233)&gt;$B233,$B233-SUM($D233:X233),$B233/$C233)</f>
        <v>0</v>
      </c>
      <c r="Z233" s="87">
        <f>IF((SUM($D233:Y233)+$B233/$C233)&gt;$B233,$B233-SUM($D233:Y233),$B233/$C233)</f>
        <v>0</v>
      </c>
      <c r="AA233" s="87">
        <f>IF((SUM($D233:Z233)+$B233/$C233)&gt;$B233,$B233-SUM($D233:Z233),$B233/$C233)</f>
        <v>0</v>
      </c>
    </row>
    <row r="234" spans="1:27" s="469" customFormat="1" outlineLevel="1" x14ac:dyDescent="0.25">
      <c r="B234" s="472">
        <f>SUM(B227:B233)</f>
        <v>162424.75257839568</v>
      </c>
      <c r="D234" s="697">
        <f t="shared" ref="D234:AA234" si="72">SUM(D227:D233)</f>
        <v>1800.096824283864</v>
      </c>
      <c r="E234" s="697">
        <f t="shared" si="72"/>
        <v>6209.0844711083046</v>
      </c>
      <c r="F234" s="697">
        <f t="shared" si="72"/>
        <v>10336.649191496759</v>
      </c>
      <c r="G234" s="697">
        <f t="shared" si="72"/>
        <v>13411.42592588974</v>
      </c>
      <c r="H234" s="697">
        <f t="shared" si="72"/>
        <v>15526.943373905469</v>
      </c>
      <c r="I234" s="697">
        <f t="shared" si="72"/>
        <v>17158.470391105715</v>
      </c>
      <c r="J234" s="697">
        <f t="shared" si="72"/>
        <v>20717.059439731642</v>
      </c>
      <c r="K234" s="697">
        <f t="shared" si="72"/>
        <v>21403.439258344086</v>
      </c>
      <c r="L234" s="697">
        <f t="shared" si="72"/>
        <v>16994.451611519653</v>
      </c>
      <c r="M234" s="697">
        <f t="shared" si="72"/>
        <v>12866.886891131195</v>
      </c>
      <c r="N234" s="697">
        <f t="shared" si="72"/>
        <v>9792.1101567382138</v>
      </c>
      <c r="O234" s="697">
        <f t="shared" si="72"/>
        <v>7676.5927087224854</v>
      </c>
      <c r="P234" s="697">
        <f t="shared" si="72"/>
        <v>6045.0656915222407</v>
      </c>
      <c r="Q234" s="697">
        <f t="shared" si="72"/>
        <v>2486.4766428963048</v>
      </c>
      <c r="R234" s="697">
        <f t="shared" si="72"/>
        <v>0</v>
      </c>
      <c r="S234" s="697">
        <f t="shared" si="72"/>
        <v>0</v>
      </c>
      <c r="T234" s="697">
        <f t="shared" si="72"/>
        <v>0</v>
      </c>
      <c r="U234" s="697">
        <f t="shared" si="72"/>
        <v>0</v>
      </c>
      <c r="V234" s="697">
        <f t="shared" si="72"/>
        <v>0</v>
      </c>
      <c r="W234" s="697">
        <f t="shared" si="72"/>
        <v>0</v>
      </c>
      <c r="X234" s="697">
        <f t="shared" si="72"/>
        <v>0</v>
      </c>
      <c r="Y234" s="697">
        <f t="shared" si="72"/>
        <v>0</v>
      </c>
      <c r="Z234" s="697">
        <f t="shared" si="72"/>
        <v>0</v>
      </c>
      <c r="AA234" s="697">
        <f t="shared" si="72"/>
        <v>0</v>
      </c>
    </row>
    <row r="235" spans="1:27" outlineLevel="1" x14ac:dyDescent="0.25">
      <c r="A235" s="465"/>
      <c r="B235" s="465"/>
      <c r="C235" s="465"/>
      <c r="D235" s="465"/>
      <c r="E235" s="465"/>
      <c r="F235" s="465"/>
      <c r="G235" s="465"/>
      <c r="H235" s="465"/>
      <c r="I235" s="465"/>
    </row>
    <row r="236" spans="1:27" outlineLevel="1" x14ac:dyDescent="0.25">
      <c r="A236" s="465"/>
      <c r="B236" s="465"/>
      <c r="C236" s="465"/>
      <c r="D236" s="465"/>
      <c r="E236" s="465"/>
      <c r="F236" s="465"/>
      <c r="G236" s="465"/>
      <c r="H236" s="465"/>
      <c r="I236" s="465"/>
    </row>
    <row r="237" spans="1:27" outlineLevel="1" x14ac:dyDescent="0.25">
      <c r="A237" s="346" t="s">
        <v>279</v>
      </c>
      <c r="B237" s="473" t="s">
        <v>325</v>
      </c>
      <c r="C237" s="308" t="s">
        <v>7</v>
      </c>
      <c r="D237" s="468">
        <f>D$4</f>
        <v>2009</v>
      </c>
      <c r="E237" s="468">
        <f t="shared" ref="E237:AA237" si="73">E$4</f>
        <v>2010</v>
      </c>
      <c r="F237" s="468">
        <f t="shared" si="73"/>
        <v>2011</v>
      </c>
      <c r="G237" s="468">
        <f t="shared" si="73"/>
        <v>2012</v>
      </c>
      <c r="H237" s="468">
        <f t="shared" si="73"/>
        <v>2013</v>
      </c>
      <c r="I237" s="468">
        <f t="shared" si="73"/>
        <v>2014</v>
      </c>
      <c r="J237" s="468">
        <f t="shared" si="73"/>
        <v>2015</v>
      </c>
      <c r="K237" s="468">
        <f t="shared" si="73"/>
        <v>2016</v>
      </c>
      <c r="L237" s="468">
        <f t="shared" si="73"/>
        <v>2017</v>
      </c>
      <c r="M237" s="468">
        <f t="shared" si="73"/>
        <v>2018</v>
      </c>
      <c r="N237" s="468">
        <f t="shared" si="73"/>
        <v>2019</v>
      </c>
      <c r="O237" s="468">
        <f t="shared" si="73"/>
        <v>2020</v>
      </c>
      <c r="P237" s="468">
        <f t="shared" si="73"/>
        <v>2021</v>
      </c>
      <c r="Q237" s="468">
        <f t="shared" si="73"/>
        <v>2022</v>
      </c>
      <c r="R237" s="468">
        <f t="shared" si="73"/>
        <v>2023</v>
      </c>
      <c r="S237" s="468">
        <f t="shared" si="73"/>
        <v>2024</v>
      </c>
      <c r="T237" s="468">
        <f t="shared" si="73"/>
        <v>2025</v>
      </c>
      <c r="U237" s="468">
        <f t="shared" si="73"/>
        <v>2026</v>
      </c>
      <c r="V237" s="468">
        <f t="shared" si="73"/>
        <v>2027</v>
      </c>
      <c r="W237" s="468">
        <f t="shared" si="73"/>
        <v>2028</v>
      </c>
      <c r="X237" s="468">
        <f t="shared" si="73"/>
        <v>2029</v>
      </c>
      <c r="Y237" s="468">
        <f t="shared" si="73"/>
        <v>2030</v>
      </c>
      <c r="Z237" s="468">
        <f t="shared" si="73"/>
        <v>2031</v>
      </c>
      <c r="AA237" s="468">
        <f t="shared" si="73"/>
        <v>2032</v>
      </c>
    </row>
    <row r="238" spans="1:27" outlineLevel="1" x14ac:dyDescent="0.25">
      <c r="A238" s="346" t="str">
        <f>$A$4</f>
        <v>($000 Real 2008)</v>
      </c>
      <c r="B238" s="474" t="s">
        <v>326</v>
      </c>
      <c r="C238" s="475" t="s">
        <v>322</v>
      </c>
      <c r="D238" s="460"/>
      <c r="E238" s="460"/>
      <c r="F238" s="460"/>
      <c r="G238" s="460"/>
      <c r="H238" s="460"/>
      <c r="I238" s="460"/>
      <c r="J238" s="460"/>
    </row>
    <row r="239" spans="1:27" outlineLevel="1" x14ac:dyDescent="0.25">
      <c r="A239" s="469">
        <v>2009</v>
      </c>
      <c r="B239" s="471">
        <f>D$184</f>
        <v>846.39541906306306</v>
      </c>
      <c r="C239" s="470">
        <f>'Data 2009-15 (Real $2008)'!C$156</f>
        <v>7</v>
      </c>
      <c r="D239" s="87">
        <f>IF(C239&lt;1,B239,B239/2/C239)</f>
        <v>60.456815647361644</v>
      </c>
      <c r="E239" s="87">
        <f>IF((SUM($D239:D239)+$B239/$C239)&gt;$B239,$B239-SUM($D239:D239),$B239/$C239)</f>
        <v>120.91363129472329</v>
      </c>
      <c r="F239" s="87">
        <f>IF((SUM($D239:E239)+$B239/$C239)&gt;$B239,$B239-SUM($D239:E239),$B239/$C239)</f>
        <v>120.91363129472329</v>
      </c>
      <c r="G239" s="87">
        <f>IF((SUM($D239:F239)+$B239/$C239)&gt;$B239,$B239-SUM($D239:F239),$B239/$C239)</f>
        <v>120.91363129472329</v>
      </c>
      <c r="H239" s="87">
        <f>IF((SUM($D239:G239)+$B239/$C239)&gt;$B239,$B239-SUM($D239:G239),$B239/$C239)</f>
        <v>120.91363129472329</v>
      </c>
      <c r="I239" s="87">
        <f>IF((SUM($D239:H239)+$B239/$C239)&gt;$B239,$B239-SUM($D239:H239),$B239/$C239)</f>
        <v>120.91363129472329</v>
      </c>
      <c r="J239" s="87">
        <f>IF((SUM($D239:I239)+$B239/$C239)&gt;$B239,$B239-SUM($D239:I239),$B239/$C239)</f>
        <v>120.91363129472329</v>
      </c>
      <c r="K239" s="87">
        <f>IF((SUM($D239:J239)+$B239/$C239)&gt;$B239,$B239-SUM($D239:J239),$B239/$C239)</f>
        <v>60.456815647361736</v>
      </c>
      <c r="L239" s="87">
        <f>IF((SUM($D239:K239)+$B239/$C239)&gt;$B239,$B239-SUM($D239:K239),$B239/$C239)</f>
        <v>0</v>
      </c>
      <c r="M239" s="87">
        <f>IF((SUM($D239:L239)+$B239/$C239)&gt;$B239,$B239-SUM($D239:L239),$B239/$C239)</f>
        <v>0</v>
      </c>
      <c r="N239" s="87">
        <f>IF((SUM($D239:M239)+$B239/$C239)&gt;$B239,$B239-SUM($D239:M239),$B239/$C239)</f>
        <v>0</v>
      </c>
      <c r="O239" s="87">
        <f>IF((SUM($D239:N239)+$B239/$C239)&gt;$B239,$B239-SUM($D239:N239),$B239/$C239)</f>
        <v>0</v>
      </c>
      <c r="P239" s="87">
        <f>IF((SUM($D239:O239)+$B239/$C239)&gt;$B239,$B239-SUM($D239:O239),$B239/$C239)</f>
        <v>0</v>
      </c>
      <c r="Q239" s="87">
        <f>IF((SUM($D239:P239)+$B239/$C239)&gt;$B239,$B239-SUM($D239:P239),$B239/$C239)</f>
        <v>0</v>
      </c>
      <c r="R239" s="87">
        <f>IF((SUM($D239:Q239)+$B239/$C239)&gt;$B239,$B239-SUM($D239:Q239),$B239/$C239)</f>
        <v>0</v>
      </c>
      <c r="S239" s="87">
        <f>IF((SUM($D239:R239)+$B239/$C239)&gt;$B239,$B239-SUM($D239:R239),$B239/$C239)</f>
        <v>0</v>
      </c>
      <c r="T239" s="87">
        <f>IF((SUM($D239:S239)+$B239/$C239)&gt;$B239,$B239-SUM($D239:S239),$B239/$C239)</f>
        <v>0</v>
      </c>
      <c r="U239" s="87">
        <f>IF((SUM($D239:T239)+$B239/$C239)&gt;$B239,$B239-SUM($D239:T239),$B239/$C239)</f>
        <v>0</v>
      </c>
      <c r="V239" s="87">
        <f>IF((SUM($D239:U239)+$B239/$C239)&gt;$B239,$B239-SUM($D239:U239),$B239/$C239)</f>
        <v>0</v>
      </c>
      <c r="W239" s="87">
        <f>IF((SUM($D239:V239)+$B239/$C239)&gt;$B239,$B239-SUM($D239:V239),$B239/$C239)</f>
        <v>0</v>
      </c>
      <c r="X239" s="87">
        <f>IF((SUM($D239:W239)+$B239/$C239)&gt;$B239,$B239-SUM($D239:W239),$B239/$C239)</f>
        <v>0</v>
      </c>
      <c r="Y239" s="87">
        <f>IF((SUM($D239:X239)+$B239/$C239)&gt;$B239,$B239-SUM($D239:X239),$B239/$C239)</f>
        <v>0</v>
      </c>
      <c r="Z239" s="87">
        <f>IF((SUM($D239:Y239)+$B239/$C239)&gt;$B239,$B239-SUM($D239:Y239),$B239/$C239)</f>
        <v>0</v>
      </c>
      <c r="AA239" s="87">
        <f>IF((SUM($D239:Z239)+$B239/$C239)&gt;$B239,$B239-SUM($D239:Z239),$B239/$C239)</f>
        <v>0</v>
      </c>
    </row>
    <row r="240" spans="1:27" outlineLevel="1" x14ac:dyDescent="0.25">
      <c r="A240" s="469">
        <v>2010</v>
      </c>
      <c r="B240" s="471">
        <f>E$184</f>
        <v>8237.4792122182698</v>
      </c>
      <c r="C240" s="470">
        <f>'Data 2009-15 (Real $2008)'!C$156</f>
        <v>7</v>
      </c>
      <c r="D240" s="480"/>
      <c r="E240" s="87">
        <f>IF(C240&lt;1,B240,B240/2/C240)</f>
        <v>588.39137230130495</v>
      </c>
      <c r="F240" s="87">
        <f>IF((SUM($D240:E240)+$B240/$C240)&gt;$B240,$B240-SUM($D240:E240),$B240/$C240)</f>
        <v>1176.7827446026099</v>
      </c>
      <c r="G240" s="87">
        <f>IF((SUM($D240:F240)+$B240/$C240)&gt;$B240,$B240-SUM($D240:F240),$B240/$C240)</f>
        <v>1176.7827446026099</v>
      </c>
      <c r="H240" s="87">
        <f>IF((SUM($D240:G240)+$B240/$C240)&gt;$B240,$B240-SUM($D240:G240),$B240/$C240)</f>
        <v>1176.7827446026099</v>
      </c>
      <c r="I240" s="87">
        <f>IF((SUM($D240:H240)+$B240/$C240)&gt;$B240,$B240-SUM($D240:H240),$B240/$C240)</f>
        <v>1176.7827446026099</v>
      </c>
      <c r="J240" s="87">
        <f>IF((SUM($D240:I240)+$B240/$C240)&gt;$B240,$B240-SUM($D240:I240),$B240/$C240)</f>
        <v>1176.7827446026099</v>
      </c>
      <c r="K240" s="87">
        <f>IF((SUM($D240:J240)+$B240/$C240)&gt;$B240,$B240-SUM($D240:J240),$B240/$C240)</f>
        <v>1176.7827446026099</v>
      </c>
      <c r="L240" s="87">
        <f>IF((SUM($D240:K240)+$B240/$C240)&gt;$B240,$B240-SUM($D240:K240),$B240/$C240)</f>
        <v>588.39137230130655</v>
      </c>
      <c r="M240" s="87">
        <f>IF((SUM($D240:L240)+$B240/$C240)&gt;$B240,$B240-SUM($D240:L240),$B240/$C240)</f>
        <v>0</v>
      </c>
      <c r="N240" s="87">
        <f>IF((SUM($D240:M240)+$B240/$C240)&gt;$B240,$B240-SUM($D240:M240),$B240/$C240)</f>
        <v>0</v>
      </c>
      <c r="O240" s="87">
        <f>IF((SUM($D240:N240)+$B240/$C240)&gt;$B240,$B240-SUM($D240:N240),$B240/$C240)</f>
        <v>0</v>
      </c>
      <c r="P240" s="87">
        <f>IF((SUM($D240:O240)+$B240/$C240)&gt;$B240,$B240-SUM($D240:O240),$B240/$C240)</f>
        <v>0</v>
      </c>
      <c r="Q240" s="87">
        <f>IF((SUM($D240:P240)+$B240/$C240)&gt;$B240,$B240-SUM($D240:P240),$B240/$C240)</f>
        <v>0</v>
      </c>
      <c r="R240" s="87">
        <f>IF((SUM($D240:Q240)+$B240/$C240)&gt;$B240,$B240-SUM($D240:Q240),$B240/$C240)</f>
        <v>0</v>
      </c>
      <c r="S240" s="87">
        <f>IF((SUM($D240:R240)+$B240/$C240)&gt;$B240,$B240-SUM($D240:R240),$B240/$C240)</f>
        <v>0</v>
      </c>
      <c r="T240" s="87">
        <f>IF((SUM($D240:S240)+$B240/$C240)&gt;$B240,$B240-SUM($D240:S240),$B240/$C240)</f>
        <v>0</v>
      </c>
      <c r="U240" s="87">
        <f>IF((SUM($D240:T240)+$B240/$C240)&gt;$B240,$B240-SUM($D240:T240),$B240/$C240)</f>
        <v>0</v>
      </c>
      <c r="V240" s="87">
        <f>IF((SUM($D240:U240)+$B240/$C240)&gt;$B240,$B240-SUM($D240:U240),$B240/$C240)</f>
        <v>0</v>
      </c>
      <c r="W240" s="87">
        <f>IF((SUM($D240:V240)+$B240/$C240)&gt;$B240,$B240-SUM($D240:V240),$B240/$C240)</f>
        <v>0</v>
      </c>
      <c r="X240" s="87">
        <f>IF((SUM($D240:W240)+$B240/$C240)&gt;$B240,$B240-SUM($D240:W240),$B240/$C240)</f>
        <v>0</v>
      </c>
      <c r="Y240" s="87">
        <f>IF((SUM($D240:X240)+$B240/$C240)&gt;$B240,$B240-SUM($D240:X240),$B240/$C240)</f>
        <v>0</v>
      </c>
      <c r="Z240" s="87">
        <f>IF((SUM($D240:Y240)+$B240/$C240)&gt;$B240,$B240-SUM($D240:Y240),$B240/$C240)</f>
        <v>0</v>
      </c>
      <c r="AA240" s="87">
        <f>IF((SUM($D240:Z240)+$B240/$C240)&gt;$B240,$B240-SUM($D240:Z240),$B240/$C240)</f>
        <v>0</v>
      </c>
    </row>
    <row r="241" spans="1:27" outlineLevel="1" x14ac:dyDescent="0.25">
      <c r="A241" s="469">
        <v>2011</v>
      </c>
      <c r="B241" s="471">
        <f>F$184</f>
        <v>8199.3950680438538</v>
      </c>
      <c r="C241" s="470">
        <f>'Data 2009-15 (Real $2008)'!C$156</f>
        <v>7</v>
      </c>
      <c r="D241" s="480"/>
      <c r="E241" s="480"/>
      <c r="F241" s="87">
        <f>IF(C241&lt;1,B241,B241/2/C241)</f>
        <v>585.67107628884673</v>
      </c>
      <c r="G241" s="87">
        <f>IF((SUM($D241:F241)+$B241/$C241)&gt;$B241,$B241-SUM($D241:F241),$B241/$C241)</f>
        <v>1171.3421525776935</v>
      </c>
      <c r="H241" s="87">
        <f>IF((SUM($D241:G241)+$B241/$C241)&gt;$B241,$B241-SUM($D241:G241),$B241/$C241)</f>
        <v>1171.3421525776935</v>
      </c>
      <c r="I241" s="87">
        <f>IF((SUM($D241:H241)+$B241/$C241)&gt;$B241,$B241-SUM($D241:H241),$B241/$C241)</f>
        <v>1171.3421525776935</v>
      </c>
      <c r="J241" s="87">
        <f>IF((SUM($D241:I241)+$B241/$C241)&gt;$B241,$B241-SUM($D241:I241),$B241/$C241)</f>
        <v>1171.3421525776935</v>
      </c>
      <c r="K241" s="87">
        <f>IF((SUM($D241:J241)+$B241/$C241)&gt;$B241,$B241-SUM($D241:J241),$B241/$C241)</f>
        <v>1171.3421525776935</v>
      </c>
      <c r="L241" s="87">
        <f>IF((SUM($D241:K241)+$B241/$C241)&gt;$B241,$B241-SUM($D241:K241),$B241/$C241)</f>
        <v>1171.3421525776935</v>
      </c>
      <c r="M241" s="87">
        <f>IF((SUM($D241:L241)+$B241/$C241)&gt;$B241,$B241-SUM($D241:L241),$B241/$C241)</f>
        <v>585.67107628884514</v>
      </c>
      <c r="N241" s="87">
        <f>IF((SUM($D241:M241)+$B241/$C241)&gt;$B241,$B241-SUM($D241:M241),$B241/$C241)</f>
        <v>0</v>
      </c>
      <c r="O241" s="87">
        <f>IF((SUM($D241:N241)+$B241/$C241)&gt;$B241,$B241-SUM($D241:N241),$B241/$C241)</f>
        <v>0</v>
      </c>
      <c r="P241" s="87">
        <f>IF((SUM($D241:O241)+$B241/$C241)&gt;$B241,$B241-SUM($D241:O241),$B241/$C241)</f>
        <v>0</v>
      </c>
      <c r="Q241" s="87">
        <f>IF((SUM($D241:P241)+$B241/$C241)&gt;$B241,$B241-SUM($D241:P241),$B241/$C241)</f>
        <v>0</v>
      </c>
      <c r="R241" s="87">
        <f>IF((SUM($D241:Q241)+$B241/$C241)&gt;$B241,$B241-SUM($D241:Q241),$B241/$C241)</f>
        <v>0</v>
      </c>
      <c r="S241" s="87">
        <f>IF((SUM($D241:R241)+$B241/$C241)&gt;$B241,$B241-SUM($D241:R241),$B241/$C241)</f>
        <v>0</v>
      </c>
      <c r="T241" s="87">
        <f>IF((SUM($D241:S241)+$B241/$C241)&gt;$B241,$B241-SUM($D241:S241),$B241/$C241)</f>
        <v>0</v>
      </c>
      <c r="U241" s="87">
        <f>IF((SUM($D241:T241)+$B241/$C241)&gt;$B241,$B241-SUM($D241:T241),$B241/$C241)</f>
        <v>0</v>
      </c>
      <c r="V241" s="87">
        <f>IF((SUM($D241:U241)+$B241/$C241)&gt;$B241,$B241-SUM($D241:U241),$B241/$C241)</f>
        <v>0</v>
      </c>
      <c r="W241" s="87">
        <f>IF((SUM($D241:V241)+$B241/$C241)&gt;$B241,$B241-SUM($D241:V241),$B241/$C241)</f>
        <v>0</v>
      </c>
      <c r="X241" s="87">
        <f>IF((SUM($D241:W241)+$B241/$C241)&gt;$B241,$B241-SUM($D241:W241),$B241/$C241)</f>
        <v>0</v>
      </c>
      <c r="Y241" s="87">
        <f>IF((SUM($D241:X241)+$B241/$C241)&gt;$B241,$B241-SUM($D241:X241),$B241/$C241)</f>
        <v>0</v>
      </c>
      <c r="Z241" s="87">
        <f>IF((SUM($D241:Y241)+$B241/$C241)&gt;$B241,$B241-SUM($D241:Y241),$B241/$C241)</f>
        <v>0</v>
      </c>
      <c r="AA241" s="87">
        <f>IF((SUM($D241:Z241)+$B241/$C241)&gt;$B241,$B241-SUM($D241:Z241),$B241/$C241)</f>
        <v>0</v>
      </c>
    </row>
    <row r="242" spans="1:27" outlineLevel="1" x14ac:dyDescent="0.25">
      <c r="A242" s="469">
        <v>2012</v>
      </c>
      <c r="B242" s="471">
        <f>G$184</f>
        <v>21954.545919275366</v>
      </c>
      <c r="C242" s="470">
        <f>'Data 2009-15 (Real $2008)'!C$156</f>
        <v>7</v>
      </c>
      <c r="D242" s="480"/>
      <c r="E242" s="480"/>
      <c r="F242" s="480"/>
      <c r="G242" s="87">
        <f>IF($C242=1,$B242,$B242/2/$C242)</f>
        <v>1568.1818513768119</v>
      </c>
      <c r="H242" s="87">
        <f>IF((SUM($D242:G242)+$B242/$C242)&gt;$B242,$B242-SUM($D242:G242),$B242/$C242)</f>
        <v>3136.3637027536238</v>
      </c>
      <c r="I242" s="87">
        <f>IF((SUM($D242:H242)+$B242/$C242)&gt;$B242,$B242-SUM($D242:H242),$B242/$C242)</f>
        <v>3136.3637027536238</v>
      </c>
      <c r="J242" s="87">
        <f>IF((SUM($D242:I242)+$B242/$C242)&gt;$B242,$B242-SUM($D242:I242),$B242/$C242)</f>
        <v>3136.3637027536238</v>
      </c>
      <c r="K242" s="87">
        <f>IF((SUM($D242:J242)+$B242/$C242)&gt;$B242,$B242-SUM($D242:J242),$B242/$C242)</f>
        <v>3136.3637027536238</v>
      </c>
      <c r="L242" s="87">
        <f>IF((SUM($D242:K242)+$B242/$C242)&gt;$B242,$B242-SUM($D242:K242),$B242/$C242)</f>
        <v>3136.3637027536238</v>
      </c>
      <c r="M242" s="87">
        <f>IF((SUM($D242:L242)+$B242/$C242)&gt;$B242,$B242-SUM($D242:L242),$B242/$C242)</f>
        <v>3136.3637027536238</v>
      </c>
      <c r="N242" s="87">
        <f>IF((SUM($D242:M242)+$B242/$C242)&gt;$B242,$B242-SUM($D242:M242),$B242/$C242)</f>
        <v>1568.1818513768121</v>
      </c>
      <c r="O242" s="87">
        <f>IF((SUM($D242:N242)+$B242/$C242)&gt;$B242,$B242-SUM($D242:N242),$B242/$C242)</f>
        <v>0</v>
      </c>
      <c r="P242" s="87">
        <f>IF((SUM($D242:O242)+$B242/$C242)&gt;$B242,$B242-SUM($D242:O242),$B242/$C242)</f>
        <v>0</v>
      </c>
      <c r="Q242" s="87">
        <f>IF((SUM($D242:P242)+$B242/$C242)&gt;$B242,$B242-SUM($D242:P242),$B242/$C242)</f>
        <v>0</v>
      </c>
      <c r="R242" s="87">
        <f>IF((SUM($D242:Q242)+$B242/$C242)&gt;$B242,$B242-SUM($D242:Q242),$B242/$C242)</f>
        <v>0</v>
      </c>
      <c r="S242" s="87">
        <f>IF((SUM($D242:R242)+$B242/$C242)&gt;$B242,$B242-SUM($D242:R242),$B242/$C242)</f>
        <v>0</v>
      </c>
      <c r="T242" s="87">
        <f>IF((SUM($D242:S242)+$B242/$C242)&gt;$B242,$B242-SUM($D242:S242),$B242/$C242)</f>
        <v>0</v>
      </c>
      <c r="U242" s="87">
        <f>IF((SUM($D242:T242)+$B242/$C242)&gt;$B242,$B242-SUM($D242:T242),$B242/$C242)</f>
        <v>0</v>
      </c>
      <c r="V242" s="87">
        <f>IF((SUM($D242:U242)+$B242/$C242)&gt;$B242,$B242-SUM($D242:U242),$B242/$C242)</f>
        <v>0</v>
      </c>
      <c r="W242" s="87">
        <f>IF((SUM($D242:V242)+$B242/$C242)&gt;$B242,$B242-SUM($D242:V242),$B242/$C242)</f>
        <v>0</v>
      </c>
      <c r="X242" s="87">
        <f>IF((SUM($D242:W242)+$B242/$C242)&gt;$B242,$B242-SUM($D242:W242),$B242/$C242)</f>
        <v>0</v>
      </c>
      <c r="Y242" s="87">
        <f>IF((SUM($D242:X242)+$B242/$C242)&gt;$B242,$B242-SUM($D242:X242),$B242/$C242)</f>
        <v>0</v>
      </c>
      <c r="Z242" s="87">
        <f>IF((SUM($D242:Y242)+$B242/$C242)&gt;$B242,$B242-SUM($D242:Y242),$B242/$C242)</f>
        <v>0</v>
      </c>
      <c r="AA242" s="87">
        <f>IF((SUM($D242:Z242)+$B242/$C242)&gt;$B242,$B242-SUM($D242:Z242),$B242/$C242)</f>
        <v>0</v>
      </c>
    </row>
    <row r="243" spans="1:27" outlineLevel="1" x14ac:dyDescent="0.25">
      <c r="A243" s="469">
        <v>2013</v>
      </c>
      <c r="B243" s="471">
        <f>H$184</f>
        <v>16309.185241853025</v>
      </c>
      <c r="C243" s="470">
        <f>'Data 2009-15 (Real $2008)'!C$156</f>
        <v>7</v>
      </c>
      <c r="D243" s="480"/>
      <c r="E243" s="480"/>
      <c r="F243" s="480"/>
      <c r="G243" s="480"/>
      <c r="H243" s="87">
        <f>IF($C243=1,$B243,$B243/2/$C243)</f>
        <v>1164.9418029895019</v>
      </c>
      <c r="I243" s="87">
        <f>IF((SUM($D243:H243)+$B243/$C243)&gt;$B243,$B243-SUM($D243:H243),$B243/$C243)</f>
        <v>2329.8836059790037</v>
      </c>
      <c r="J243" s="87">
        <f>IF((SUM($D243:I243)+$B243/$C243)&gt;$B243,$B243-SUM($D243:I243),$B243/$C243)</f>
        <v>2329.8836059790037</v>
      </c>
      <c r="K243" s="87">
        <f>IF((SUM($D243:J243)+$B243/$C243)&gt;$B243,$B243-SUM($D243:J243),$B243/$C243)</f>
        <v>2329.8836059790037</v>
      </c>
      <c r="L243" s="87">
        <f>IF((SUM($D243:K243)+$B243/$C243)&gt;$B243,$B243-SUM($D243:K243),$B243/$C243)</f>
        <v>2329.8836059790037</v>
      </c>
      <c r="M243" s="87">
        <f>IF((SUM($D243:L243)+$B243/$C243)&gt;$B243,$B243-SUM($D243:L243),$B243/$C243)</f>
        <v>2329.8836059790037</v>
      </c>
      <c r="N243" s="87">
        <f>IF((SUM($D243:M243)+$B243/$C243)&gt;$B243,$B243-SUM($D243:M243),$B243/$C243)</f>
        <v>2329.8836059790037</v>
      </c>
      <c r="O243" s="87">
        <f>IF((SUM($D243:N243)+$B243/$C243)&gt;$B243,$B243-SUM($D243:N243),$B243/$C243)</f>
        <v>1164.9418029894987</v>
      </c>
      <c r="P243" s="87">
        <f>IF((SUM($D243:O243)+$B243/$C243)&gt;$B243,$B243-SUM($D243:O243),$B243/$C243)</f>
        <v>0</v>
      </c>
      <c r="Q243" s="87">
        <f>IF((SUM($D243:P243)+$B243/$C243)&gt;$B243,$B243-SUM($D243:P243),$B243/$C243)</f>
        <v>0</v>
      </c>
      <c r="R243" s="87">
        <f>IF((SUM($D243:Q243)+$B243/$C243)&gt;$B243,$B243-SUM($D243:Q243),$B243/$C243)</f>
        <v>0</v>
      </c>
      <c r="S243" s="87">
        <f>IF((SUM($D243:R243)+$B243/$C243)&gt;$B243,$B243-SUM($D243:R243),$B243/$C243)</f>
        <v>0</v>
      </c>
      <c r="T243" s="87">
        <f>IF((SUM($D243:S243)+$B243/$C243)&gt;$B243,$B243-SUM($D243:S243),$B243/$C243)</f>
        <v>0</v>
      </c>
      <c r="U243" s="87">
        <f>IF((SUM($D243:T243)+$B243/$C243)&gt;$B243,$B243-SUM($D243:T243),$B243/$C243)</f>
        <v>0</v>
      </c>
      <c r="V243" s="87">
        <f>IF((SUM($D243:U243)+$B243/$C243)&gt;$B243,$B243-SUM($D243:U243),$B243/$C243)</f>
        <v>0</v>
      </c>
      <c r="W243" s="87">
        <f>IF((SUM($D243:V243)+$B243/$C243)&gt;$B243,$B243-SUM($D243:V243),$B243/$C243)</f>
        <v>0</v>
      </c>
      <c r="X243" s="87">
        <f>IF((SUM($D243:W243)+$B243/$C243)&gt;$B243,$B243-SUM($D243:W243),$B243/$C243)</f>
        <v>0</v>
      </c>
      <c r="Y243" s="87">
        <f>IF((SUM($D243:X243)+$B243/$C243)&gt;$B243,$B243-SUM($D243:X243),$B243/$C243)</f>
        <v>0</v>
      </c>
      <c r="Z243" s="87">
        <f>IF((SUM($D243:Y243)+$B243/$C243)&gt;$B243,$B243-SUM($D243:Y243),$B243/$C243)</f>
        <v>0</v>
      </c>
      <c r="AA243" s="87">
        <f>IF((SUM($D243:Z243)+$B243/$C243)&gt;$B243,$B243-SUM($D243:Z243),$B243/$C243)</f>
        <v>0</v>
      </c>
    </row>
    <row r="244" spans="1:27" outlineLevel="1" x14ac:dyDescent="0.25">
      <c r="A244" s="469">
        <v>2014</v>
      </c>
      <c r="B244" s="471">
        <f>I$184</f>
        <v>3798.7825618668885</v>
      </c>
      <c r="C244" s="470">
        <f>'Data 2009-15 (Real $2008)'!C$156</f>
        <v>7</v>
      </c>
      <c r="D244" s="480"/>
      <c r="E244" s="480"/>
      <c r="F244" s="480"/>
      <c r="G244" s="480"/>
      <c r="H244" s="480"/>
      <c r="I244" s="87">
        <f>IF($C244=1,$B244,$B244/2/$C244)</f>
        <v>271.34161156192062</v>
      </c>
      <c r="J244" s="87">
        <f>IF((SUM($D244:I244)+$B244/$C244)&gt;$B244,$B244-SUM($D244:I244),$B244/$C244)</f>
        <v>542.68322312384123</v>
      </c>
      <c r="K244" s="87">
        <f>IF((SUM($D244:J244)+$B244/$C244)&gt;$B244,$B244-SUM($D244:J244),$B244/$C244)</f>
        <v>542.68322312384123</v>
      </c>
      <c r="L244" s="87">
        <f>IF((SUM($D244:K244)+$B244/$C244)&gt;$B244,$B244-SUM($D244:K244),$B244/$C244)</f>
        <v>542.68322312384123</v>
      </c>
      <c r="M244" s="87">
        <f>IF((SUM($D244:L244)+$B244/$C244)&gt;$B244,$B244-SUM($D244:L244),$B244/$C244)</f>
        <v>542.68322312384123</v>
      </c>
      <c r="N244" s="87">
        <f>IF((SUM($D244:M244)+$B244/$C244)&gt;$B244,$B244-SUM($D244:M244),$B244/$C244)</f>
        <v>542.68322312384123</v>
      </c>
      <c r="O244" s="87">
        <f>IF((SUM($D244:N244)+$B244/$C244)&gt;$B244,$B244-SUM($D244:N244),$B244/$C244)</f>
        <v>542.68322312384123</v>
      </c>
      <c r="P244" s="87">
        <f>IF((SUM($D244:O244)+$B244/$C244)&gt;$B244,$B244-SUM($D244:O244),$B244/$C244)</f>
        <v>271.34161156192022</v>
      </c>
      <c r="Q244" s="87">
        <f>IF((SUM($D244:P244)+$B244/$C244)&gt;$B244,$B244-SUM($D244:P244),$B244/$C244)</f>
        <v>0</v>
      </c>
      <c r="R244" s="87">
        <f>IF((SUM($D244:Q244)+$B244/$C244)&gt;$B244,$B244-SUM($D244:Q244),$B244/$C244)</f>
        <v>0</v>
      </c>
      <c r="S244" s="87">
        <f>IF((SUM($D244:R244)+$B244/$C244)&gt;$B244,$B244-SUM($D244:R244),$B244/$C244)</f>
        <v>0</v>
      </c>
      <c r="T244" s="87">
        <f>IF((SUM($D244:S244)+$B244/$C244)&gt;$B244,$B244-SUM($D244:S244),$B244/$C244)</f>
        <v>0</v>
      </c>
      <c r="U244" s="87">
        <f>IF((SUM($D244:T244)+$B244/$C244)&gt;$B244,$B244-SUM($D244:T244),$B244/$C244)</f>
        <v>0</v>
      </c>
      <c r="V244" s="87">
        <f>IF((SUM($D244:U244)+$B244/$C244)&gt;$B244,$B244-SUM($D244:U244),$B244/$C244)</f>
        <v>0</v>
      </c>
      <c r="W244" s="87">
        <f>IF((SUM($D244:V244)+$B244/$C244)&gt;$B244,$B244-SUM($D244:V244),$B244/$C244)</f>
        <v>0</v>
      </c>
      <c r="X244" s="87">
        <f>IF((SUM($D244:W244)+$B244/$C244)&gt;$B244,$B244-SUM($D244:W244),$B244/$C244)</f>
        <v>0</v>
      </c>
      <c r="Y244" s="87">
        <f>IF((SUM($D244:X244)+$B244/$C244)&gt;$B244,$B244-SUM($D244:X244),$B244/$C244)</f>
        <v>0</v>
      </c>
      <c r="Z244" s="87">
        <f>IF((SUM($D244:Y244)+$B244/$C244)&gt;$B244,$B244-SUM($D244:Y244),$B244/$C244)</f>
        <v>0</v>
      </c>
      <c r="AA244" s="87">
        <f>IF((SUM($D244:Z244)+$B244/$C244)&gt;$B244,$B244-SUM($D244:Z244),$B244/$C244)</f>
        <v>0</v>
      </c>
    </row>
    <row r="245" spans="1:27" outlineLevel="1" x14ac:dyDescent="0.25">
      <c r="A245" s="469">
        <v>2015</v>
      </c>
      <c r="B245" s="471">
        <f>J$184</f>
        <v>7847.7410457597452</v>
      </c>
      <c r="C245" s="470">
        <f>'Data 2009-15 (Real $2008)'!C$156</f>
        <v>7</v>
      </c>
      <c r="D245" s="480"/>
      <c r="E245" s="480"/>
      <c r="F245" s="480"/>
      <c r="G245" s="480"/>
      <c r="H245" s="480"/>
      <c r="I245" s="480"/>
      <c r="J245" s="87">
        <f>IF($C245=1,$B245,$B245/2/$C245)</f>
        <v>560.55293183998185</v>
      </c>
      <c r="K245" s="87">
        <f>IF((SUM($D245:J245)+$B245/$C245)&gt;$B245,$B245-SUM($D245:J245),$B245/$C245)</f>
        <v>1121.1058636799637</v>
      </c>
      <c r="L245" s="87">
        <f>IF((SUM($D245:K245)+$B245/$C245)&gt;$B245,$B245-SUM($D245:K245),$B245/$C245)</f>
        <v>1121.1058636799637</v>
      </c>
      <c r="M245" s="87">
        <f>IF((SUM($D245:L245)+$B245/$C245)&gt;$B245,$B245-SUM($D245:L245),$B245/$C245)</f>
        <v>1121.1058636799637</v>
      </c>
      <c r="N245" s="87">
        <f>IF((SUM($D245:M245)+$B245/$C245)&gt;$B245,$B245-SUM($D245:M245),$B245/$C245)</f>
        <v>1121.1058636799637</v>
      </c>
      <c r="O245" s="87">
        <f>IF((SUM($D245:N245)+$B245/$C245)&gt;$B245,$B245-SUM($D245:N245),$B245/$C245)</f>
        <v>1121.1058636799637</v>
      </c>
      <c r="P245" s="87">
        <f>IF((SUM($D245:O245)+$B245/$C245)&gt;$B245,$B245-SUM($D245:O245),$B245/$C245)</f>
        <v>1121.1058636799637</v>
      </c>
      <c r="Q245" s="87">
        <f>IF((SUM($D245:P245)+$B245/$C245)&gt;$B245,$B245-SUM($D245:P245),$B245/$C245)</f>
        <v>560.55293183998219</v>
      </c>
      <c r="R245" s="87">
        <f>IF((SUM($D245:Q245)+$B245/$C245)&gt;$B245,$B245-SUM($D245:Q245),$B245/$C245)</f>
        <v>0</v>
      </c>
      <c r="S245" s="87">
        <f>IF((SUM($D245:R245)+$B245/$C245)&gt;$B245,$B245-SUM($D245:R245),$B245/$C245)</f>
        <v>0</v>
      </c>
      <c r="T245" s="87">
        <f>IF((SUM($D245:S245)+$B245/$C245)&gt;$B245,$B245-SUM($D245:S245),$B245/$C245)</f>
        <v>0</v>
      </c>
      <c r="U245" s="87">
        <f>IF((SUM($D245:T245)+$B245/$C245)&gt;$B245,$B245-SUM($D245:T245),$B245/$C245)</f>
        <v>0</v>
      </c>
      <c r="V245" s="87">
        <f>IF((SUM($D245:U245)+$B245/$C245)&gt;$B245,$B245-SUM($D245:U245),$B245/$C245)</f>
        <v>0</v>
      </c>
      <c r="W245" s="87">
        <f>IF((SUM($D245:V245)+$B245/$C245)&gt;$B245,$B245-SUM($D245:V245),$B245/$C245)</f>
        <v>0</v>
      </c>
      <c r="X245" s="87">
        <f>IF((SUM($D245:W245)+$B245/$C245)&gt;$B245,$B245-SUM($D245:W245),$B245/$C245)</f>
        <v>0</v>
      </c>
      <c r="Y245" s="87">
        <f>IF((SUM($D245:X245)+$B245/$C245)&gt;$B245,$B245-SUM($D245:X245),$B245/$C245)</f>
        <v>0</v>
      </c>
      <c r="Z245" s="87">
        <f>IF((SUM($D245:Y245)+$B245/$C245)&gt;$B245,$B245-SUM($D245:Y245),$B245/$C245)</f>
        <v>0</v>
      </c>
      <c r="AA245" s="87">
        <f>IF((SUM($D245:Z245)+$B245/$C245)&gt;$B245,$B245-SUM($D245:Z245),$B245/$C245)</f>
        <v>0</v>
      </c>
    </row>
    <row r="246" spans="1:27" s="469" customFormat="1" outlineLevel="1" x14ac:dyDescent="0.25">
      <c r="B246" s="472">
        <f>SUM(B239:B245)</f>
        <v>67193.524468080213</v>
      </c>
      <c r="D246" s="697">
        <f t="shared" ref="D246:AA246" si="74">SUM(D239:D245)</f>
        <v>60.456815647361644</v>
      </c>
      <c r="E246" s="697">
        <f t="shared" si="74"/>
        <v>709.3050035960282</v>
      </c>
      <c r="F246" s="697">
        <f t="shared" si="74"/>
        <v>1883.3674521861799</v>
      </c>
      <c r="G246" s="697">
        <f t="shared" si="74"/>
        <v>4037.2203798518385</v>
      </c>
      <c r="H246" s="697">
        <f t="shared" si="74"/>
        <v>6770.344034218153</v>
      </c>
      <c r="I246" s="697">
        <f t="shared" si="74"/>
        <v>8206.6274487695755</v>
      </c>
      <c r="J246" s="697">
        <f t="shared" si="74"/>
        <v>9038.5219921714779</v>
      </c>
      <c r="K246" s="697">
        <f t="shared" si="74"/>
        <v>9538.6181083640986</v>
      </c>
      <c r="L246" s="697">
        <f t="shared" si="74"/>
        <v>8889.7699204154324</v>
      </c>
      <c r="M246" s="697">
        <f t="shared" si="74"/>
        <v>7715.707471825277</v>
      </c>
      <c r="N246" s="697">
        <f t="shared" si="74"/>
        <v>5561.8545441596207</v>
      </c>
      <c r="O246" s="697">
        <f t="shared" si="74"/>
        <v>2828.7308897933035</v>
      </c>
      <c r="P246" s="697">
        <f t="shared" si="74"/>
        <v>1392.4474752418839</v>
      </c>
      <c r="Q246" s="697">
        <f t="shared" si="74"/>
        <v>560.55293183998219</v>
      </c>
      <c r="R246" s="697">
        <f t="shared" si="74"/>
        <v>0</v>
      </c>
      <c r="S246" s="697">
        <f t="shared" si="74"/>
        <v>0</v>
      </c>
      <c r="T246" s="697">
        <f t="shared" si="74"/>
        <v>0</v>
      </c>
      <c r="U246" s="697">
        <f t="shared" si="74"/>
        <v>0</v>
      </c>
      <c r="V246" s="697">
        <f t="shared" si="74"/>
        <v>0</v>
      </c>
      <c r="W246" s="697">
        <f t="shared" si="74"/>
        <v>0</v>
      </c>
      <c r="X246" s="697">
        <f t="shared" si="74"/>
        <v>0</v>
      </c>
      <c r="Y246" s="697">
        <f t="shared" si="74"/>
        <v>0</v>
      </c>
      <c r="Z246" s="697">
        <f t="shared" si="74"/>
        <v>0</v>
      </c>
      <c r="AA246" s="697">
        <f t="shared" si="74"/>
        <v>0</v>
      </c>
    </row>
    <row r="247" spans="1:27" outlineLevel="1" x14ac:dyDescent="0.25">
      <c r="A247" s="465"/>
      <c r="B247" s="465"/>
      <c r="C247" s="465"/>
      <c r="D247" s="465"/>
      <c r="E247" s="465"/>
      <c r="F247" s="465"/>
      <c r="G247" s="465"/>
      <c r="H247" s="465"/>
      <c r="I247" s="465"/>
    </row>
    <row r="248" spans="1:27" outlineLevel="1" x14ac:dyDescent="0.25">
      <c r="A248" s="465"/>
      <c r="B248" s="465"/>
      <c r="C248" s="465"/>
      <c r="D248" s="465"/>
      <c r="E248" s="465"/>
      <c r="F248" s="465"/>
      <c r="G248" s="465"/>
      <c r="H248" s="465"/>
      <c r="I248" s="465"/>
    </row>
    <row r="249" spans="1:27" outlineLevel="1" x14ac:dyDescent="0.25">
      <c r="A249" s="346" t="s">
        <v>278</v>
      </c>
      <c r="B249" s="473" t="s">
        <v>325</v>
      </c>
      <c r="C249" s="308" t="s">
        <v>7</v>
      </c>
      <c r="D249" s="468">
        <f>D$4</f>
        <v>2009</v>
      </c>
      <c r="E249" s="468">
        <f t="shared" ref="E249:AA249" si="75">E$4</f>
        <v>2010</v>
      </c>
      <c r="F249" s="468">
        <f t="shared" si="75"/>
        <v>2011</v>
      </c>
      <c r="G249" s="468">
        <f t="shared" si="75"/>
        <v>2012</v>
      </c>
      <c r="H249" s="468">
        <f t="shared" si="75"/>
        <v>2013</v>
      </c>
      <c r="I249" s="468">
        <f t="shared" si="75"/>
        <v>2014</v>
      </c>
      <c r="J249" s="468">
        <f t="shared" si="75"/>
        <v>2015</v>
      </c>
      <c r="K249" s="468">
        <f t="shared" si="75"/>
        <v>2016</v>
      </c>
      <c r="L249" s="468">
        <f t="shared" si="75"/>
        <v>2017</v>
      </c>
      <c r="M249" s="468">
        <f t="shared" si="75"/>
        <v>2018</v>
      </c>
      <c r="N249" s="468">
        <f t="shared" si="75"/>
        <v>2019</v>
      </c>
      <c r="O249" s="468">
        <f t="shared" si="75"/>
        <v>2020</v>
      </c>
      <c r="P249" s="468">
        <f t="shared" si="75"/>
        <v>2021</v>
      </c>
      <c r="Q249" s="468">
        <f t="shared" si="75"/>
        <v>2022</v>
      </c>
      <c r="R249" s="468">
        <f t="shared" si="75"/>
        <v>2023</v>
      </c>
      <c r="S249" s="468">
        <f t="shared" si="75"/>
        <v>2024</v>
      </c>
      <c r="T249" s="468">
        <f t="shared" si="75"/>
        <v>2025</v>
      </c>
      <c r="U249" s="468">
        <f t="shared" si="75"/>
        <v>2026</v>
      </c>
      <c r="V249" s="468">
        <f t="shared" si="75"/>
        <v>2027</v>
      </c>
      <c r="W249" s="468">
        <f t="shared" si="75"/>
        <v>2028</v>
      </c>
      <c r="X249" s="468">
        <f t="shared" si="75"/>
        <v>2029</v>
      </c>
      <c r="Y249" s="468">
        <f t="shared" si="75"/>
        <v>2030</v>
      </c>
      <c r="Z249" s="468">
        <f t="shared" si="75"/>
        <v>2031</v>
      </c>
      <c r="AA249" s="468">
        <f t="shared" si="75"/>
        <v>2032</v>
      </c>
    </row>
    <row r="250" spans="1:27" outlineLevel="1" x14ac:dyDescent="0.25">
      <c r="A250" s="346" t="str">
        <f>$A$4</f>
        <v>($000 Real 2008)</v>
      </c>
      <c r="B250" s="474" t="s">
        <v>326</v>
      </c>
      <c r="C250" s="475" t="s">
        <v>322</v>
      </c>
      <c r="D250" s="460"/>
      <c r="E250" s="460"/>
      <c r="F250" s="460"/>
      <c r="G250" s="460"/>
      <c r="H250" s="460"/>
      <c r="I250" s="460"/>
      <c r="J250" s="460"/>
    </row>
    <row r="251" spans="1:27" outlineLevel="1" x14ac:dyDescent="0.25">
      <c r="A251" s="469">
        <v>2009</v>
      </c>
      <c r="B251" s="471">
        <f>D$185</f>
        <v>0</v>
      </c>
      <c r="C251" s="470">
        <f>'Data 2009-15 (Real $2008)'!C$157</f>
        <v>7</v>
      </c>
      <c r="D251" s="87">
        <f>IF(C251&lt;1,B251,B251/2/C251)</f>
        <v>0</v>
      </c>
      <c r="E251" s="87">
        <f>IF((SUM($D251:D251)+$B251/$C251)&gt;$B251,$B251-SUM($D251:D251),$B251/$C251)</f>
        <v>0</v>
      </c>
      <c r="F251" s="87">
        <f>IF((SUM($D251:E251)+$B251/$C251)&gt;$B251,$B251-SUM($D251:E251),$B251/$C251)</f>
        <v>0</v>
      </c>
      <c r="G251" s="87">
        <f>IF((SUM($D251:F251)+$B251/$C251)&gt;$B251,$B251-SUM($D251:F251),$B251/$C251)</f>
        <v>0</v>
      </c>
      <c r="H251" s="87">
        <f>IF((SUM($D251:G251)+$B251/$C251)&gt;$B251,$B251-SUM($D251:G251),$B251/$C251)</f>
        <v>0</v>
      </c>
      <c r="I251" s="87">
        <f>IF((SUM($D251:H251)+$B251/$C251)&gt;$B251,$B251-SUM($D251:H251),$B251/$C251)</f>
        <v>0</v>
      </c>
      <c r="J251" s="87">
        <f>IF((SUM($D251:I251)+$B251/$C251)&gt;$B251,$B251-SUM($D251:I251),$B251/$C251)</f>
        <v>0</v>
      </c>
      <c r="K251" s="87">
        <f>IF((SUM($D251:J251)+$B251/$C251)&gt;$B251,$B251-SUM($D251:J251),$B251/$C251)</f>
        <v>0</v>
      </c>
      <c r="L251" s="87">
        <f>IF((SUM($D251:K251)+$B251/$C251)&gt;$B251,$B251-SUM($D251:K251),$B251/$C251)</f>
        <v>0</v>
      </c>
      <c r="M251" s="87">
        <f>IF((SUM($D251:L251)+$B251/$C251)&gt;$B251,$B251-SUM($D251:L251),$B251/$C251)</f>
        <v>0</v>
      </c>
      <c r="N251" s="87">
        <f>IF((SUM($D251:M251)+$B251/$C251)&gt;$B251,$B251-SUM($D251:M251),$B251/$C251)</f>
        <v>0</v>
      </c>
      <c r="O251" s="87">
        <f>IF((SUM($D251:N251)+$B251/$C251)&gt;$B251,$B251-SUM($D251:N251),$B251/$C251)</f>
        <v>0</v>
      </c>
      <c r="P251" s="87">
        <f>IF((SUM($D251:O251)+$B251/$C251)&gt;$B251,$B251-SUM($D251:O251),$B251/$C251)</f>
        <v>0</v>
      </c>
      <c r="Q251" s="87">
        <f>IF((SUM($D251:P251)+$B251/$C251)&gt;$B251,$B251-SUM($D251:P251),$B251/$C251)</f>
        <v>0</v>
      </c>
      <c r="R251" s="87">
        <f>IF((SUM($D251:Q251)+$B251/$C251)&gt;$B251,$B251-SUM($D251:Q251),$B251/$C251)</f>
        <v>0</v>
      </c>
      <c r="S251" s="87">
        <f>IF((SUM($D251:R251)+$B251/$C251)&gt;$B251,$B251-SUM($D251:R251),$B251/$C251)</f>
        <v>0</v>
      </c>
      <c r="T251" s="87">
        <f>IF((SUM($D251:S251)+$B251/$C251)&gt;$B251,$B251-SUM($D251:S251),$B251/$C251)</f>
        <v>0</v>
      </c>
      <c r="U251" s="87">
        <f>IF((SUM($D251:T251)+$B251/$C251)&gt;$B251,$B251-SUM($D251:T251),$B251/$C251)</f>
        <v>0</v>
      </c>
      <c r="V251" s="87">
        <f>IF((SUM($D251:U251)+$B251/$C251)&gt;$B251,$B251-SUM($D251:U251),$B251/$C251)</f>
        <v>0</v>
      </c>
      <c r="W251" s="87">
        <f>IF((SUM($D251:V251)+$B251/$C251)&gt;$B251,$B251-SUM($D251:V251),$B251/$C251)</f>
        <v>0</v>
      </c>
      <c r="X251" s="87">
        <f>IF((SUM($D251:W251)+$B251/$C251)&gt;$B251,$B251-SUM($D251:W251),$B251/$C251)</f>
        <v>0</v>
      </c>
      <c r="Y251" s="87">
        <f>IF((SUM($D251:X251)+$B251/$C251)&gt;$B251,$B251-SUM($D251:X251),$B251/$C251)</f>
        <v>0</v>
      </c>
      <c r="Z251" s="87">
        <f>IF((SUM($D251:Y251)+$B251/$C251)&gt;$B251,$B251-SUM($D251:Y251),$B251/$C251)</f>
        <v>0</v>
      </c>
      <c r="AA251" s="87">
        <f>IF((SUM($D251:Z251)+$B251/$C251)&gt;$B251,$B251-SUM($D251:Z251),$B251/$C251)</f>
        <v>0</v>
      </c>
    </row>
    <row r="252" spans="1:27" outlineLevel="1" x14ac:dyDescent="0.25">
      <c r="A252" s="469">
        <v>2010</v>
      </c>
      <c r="B252" s="471">
        <f>E$185</f>
        <v>0</v>
      </c>
      <c r="C252" s="470">
        <f>'Data 2009-15 (Real $2008)'!C$157</f>
        <v>7</v>
      </c>
      <c r="D252" s="480"/>
      <c r="E252" s="87">
        <f>IF(C252&lt;1,B252,B252/2/C252)</f>
        <v>0</v>
      </c>
      <c r="F252" s="87">
        <f>IF((SUM($D252:E252)+$B252/$C252)&gt;$B252,$B252-SUM($D252:E252),$B252/$C252)</f>
        <v>0</v>
      </c>
      <c r="G252" s="87">
        <f>IF((SUM($D252:F252)+$B252/$C252)&gt;$B252,$B252-SUM($D252:F252),$B252/$C252)</f>
        <v>0</v>
      </c>
      <c r="H252" s="87">
        <f>IF((SUM($D252:G252)+$B252/$C252)&gt;$B252,$B252-SUM($D252:G252),$B252/$C252)</f>
        <v>0</v>
      </c>
      <c r="I252" s="87">
        <f>IF((SUM($D252:H252)+$B252/$C252)&gt;$B252,$B252-SUM($D252:H252),$B252/$C252)</f>
        <v>0</v>
      </c>
      <c r="J252" s="87">
        <f>IF((SUM($D252:I252)+$B252/$C252)&gt;$B252,$B252-SUM($D252:I252),$B252/$C252)</f>
        <v>0</v>
      </c>
      <c r="K252" s="87">
        <f>IF((SUM($D252:J252)+$B252/$C252)&gt;$B252,$B252-SUM($D252:J252),$B252/$C252)</f>
        <v>0</v>
      </c>
      <c r="L252" s="87">
        <f>IF((SUM($D252:K252)+$B252/$C252)&gt;$B252,$B252-SUM($D252:K252),$B252/$C252)</f>
        <v>0</v>
      </c>
      <c r="M252" s="87">
        <f>IF((SUM($D252:L252)+$B252/$C252)&gt;$B252,$B252-SUM($D252:L252),$B252/$C252)</f>
        <v>0</v>
      </c>
      <c r="N252" s="87">
        <f>IF((SUM($D252:M252)+$B252/$C252)&gt;$B252,$B252-SUM($D252:M252),$B252/$C252)</f>
        <v>0</v>
      </c>
      <c r="O252" s="87">
        <f>IF((SUM($D252:N252)+$B252/$C252)&gt;$B252,$B252-SUM($D252:N252),$B252/$C252)</f>
        <v>0</v>
      </c>
      <c r="P252" s="87">
        <f>IF((SUM($D252:O252)+$B252/$C252)&gt;$B252,$B252-SUM($D252:O252),$B252/$C252)</f>
        <v>0</v>
      </c>
      <c r="Q252" s="87">
        <f>IF((SUM($D252:P252)+$B252/$C252)&gt;$B252,$B252-SUM($D252:P252),$B252/$C252)</f>
        <v>0</v>
      </c>
      <c r="R252" s="87">
        <f>IF((SUM($D252:Q252)+$B252/$C252)&gt;$B252,$B252-SUM($D252:Q252),$B252/$C252)</f>
        <v>0</v>
      </c>
      <c r="S252" s="87">
        <f>IF((SUM($D252:R252)+$B252/$C252)&gt;$B252,$B252-SUM($D252:R252),$B252/$C252)</f>
        <v>0</v>
      </c>
      <c r="T252" s="87">
        <f>IF((SUM($D252:S252)+$B252/$C252)&gt;$B252,$B252-SUM($D252:S252),$B252/$C252)</f>
        <v>0</v>
      </c>
      <c r="U252" s="87">
        <f>IF((SUM($D252:T252)+$B252/$C252)&gt;$B252,$B252-SUM($D252:T252),$B252/$C252)</f>
        <v>0</v>
      </c>
      <c r="V252" s="87">
        <f>IF((SUM($D252:U252)+$B252/$C252)&gt;$B252,$B252-SUM($D252:U252),$B252/$C252)</f>
        <v>0</v>
      </c>
      <c r="W252" s="87">
        <f>IF((SUM($D252:V252)+$B252/$C252)&gt;$B252,$B252-SUM($D252:V252),$B252/$C252)</f>
        <v>0</v>
      </c>
      <c r="X252" s="87">
        <f>IF((SUM($D252:W252)+$B252/$C252)&gt;$B252,$B252-SUM($D252:W252),$B252/$C252)</f>
        <v>0</v>
      </c>
      <c r="Y252" s="87">
        <f>IF((SUM($D252:X252)+$B252/$C252)&gt;$B252,$B252-SUM($D252:X252),$B252/$C252)</f>
        <v>0</v>
      </c>
      <c r="Z252" s="87">
        <f>IF((SUM($D252:Y252)+$B252/$C252)&gt;$B252,$B252-SUM($D252:Y252),$B252/$C252)</f>
        <v>0</v>
      </c>
      <c r="AA252" s="87">
        <f>IF((SUM($D252:Z252)+$B252/$C252)&gt;$B252,$B252-SUM($D252:Z252),$B252/$C252)</f>
        <v>0</v>
      </c>
    </row>
    <row r="253" spans="1:27" outlineLevel="1" x14ac:dyDescent="0.25">
      <c r="A253" s="469">
        <v>2011</v>
      </c>
      <c r="B253" s="471">
        <f>F$185</f>
        <v>0</v>
      </c>
      <c r="C253" s="470">
        <f>'Data 2009-15 (Real $2008)'!C$157</f>
        <v>7</v>
      </c>
      <c r="D253" s="480"/>
      <c r="E253" s="480"/>
      <c r="F253" s="87">
        <f>IF(C253&lt;1,B253,B253/2/C253)</f>
        <v>0</v>
      </c>
      <c r="G253" s="87">
        <f>IF((SUM($D253:F253)+$B253/$C253)&gt;$B253,$B253-SUM($D253:F253),$B253/$C253)</f>
        <v>0</v>
      </c>
      <c r="H253" s="87">
        <f>IF((SUM($D253:G253)+$B253/$C253)&gt;$B253,$B253-SUM($D253:G253),$B253/$C253)</f>
        <v>0</v>
      </c>
      <c r="I253" s="87">
        <f>IF((SUM($D253:H253)+$B253/$C253)&gt;$B253,$B253-SUM($D253:H253),$B253/$C253)</f>
        <v>0</v>
      </c>
      <c r="J253" s="87">
        <f>IF((SUM($D253:I253)+$B253/$C253)&gt;$B253,$B253-SUM($D253:I253),$B253/$C253)</f>
        <v>0</v>
      </c>
      <c r="K253" s="87">
        <f>IF((SUM($D253:J253)+$B253/$C253)&gt;$B253,$B253-SUM($D253:J253),$B253/$C253)</f>
        <v>0</v>
      </c>
      <c r="L253" s="87">
        <f>IF((SUM($D253:K253)+$B253/$C253)&gt;$B253,$B253-SUM($D253:K253),$B253/$C253)</f>
        <v>0</v>
      </c>
      <c r="M253" s="87">
        <f>IF((SUM($D253:L253)+$B253/$C253)&gt;$B253,$B253-SUM($D253:L253),$B253/$C253)</f>
        <v>0</v>
      </c>
      <c r="N253" s="87">
        <f>IF((SUM($D253:M253)+$B253/$C253)&gt;$B253,$B253-SUM($D253:M253),$B253/$C253)</f>
        <v>0</v>
      </c>
      <c r="O253" s="87">
        <f>IF((SUM($D253:N253)+$B253/$C253)&gt;$B253,$B253-SUM($D253:N253),$B253/$C253)</f>
        <v>0</v>
      </c>
      <c r="P253" s="87">
        <f>IF((SUM($D253:O253)+$B253/$C253)&gt;$B253,$B253-SUM($D253:O253),$B253/$C253)</f>
        <v>0</v>
      </c>
      <c r="Q253" s="87">
        <f>IF((SUM($D253:P253)+$B253/$C253)&gt;$B253,$B253-SUM($D253:P253),$B253/$C253)</f>
        <v>0</v>
      </c>
      <c r="R253" s="87">
        <f>IF((SUM($D253:Q253)+$B253/$C253)&gt;$B253,$B253-SUM($D253:Q253),$B253/$C253)</f>
        <v>0</v>
      </c>
      <c r="S253" s="87">
        <f>IF((SUM($D253:R253)+$B253/$C253)&gt;$B253,$B253-SUM($D253:R253),$B253/$C253)</f>
        <v>0</v>
      </c>
      <c r="T253" s="87">
        <f>IF((SUM($D253:S253)+$B253/$C253)&gt;$B253,$B253-SUM($D253:S253),$B253/$C253)</f>
        <v>0</v>
      </c>
      <c r="U253" s="87">
        <f>IF((SUM($D253:T253)+$B253/$C253)&gt;$B253,$B253-SUM($D253:T253),$B253/$C253)</f>
        <v>0</v>
      </c>
      <c r="V253" s="87">
        <f>IF((SUM($D253:U253)+$B253/$C253)&gt;$B253,$B253-SUM($D253:U253),$B253/$C253)</f>
        <v>0</v>
      </c>
      <c r="W253" s="87">
        <f>IF((SUM($D253:V253)+$B253/$C253)&gt;$B253,$B253-SUM($D253:V253),$B253/$C253)</f>
        <v>0</v>
      </c>
      <c r="X253" s="87">
        <f>IF((SUM($D253:W253)+$B253/$C253)&gt;$B253,$B253-SUM($D253:W253),$B253/$C253)</f>
        <v>0</v>
      </c>
      <c r="Y253" s="87">
        <f>IF((SUM($D253:X253)+$B253/$C253)&gt;$B253,$B253-SUM($D253:X253),$B253/$C253)</f>
        <v>0</v>
      </c>
      <c r="Z253" s="87">
        <f>IF((SUM($D253:Y253)+$B253/$C253)&gt;$B253,$B253-SUM($D253:Y253),$B253/$C253)</f>
        <v>0</v>
      </c>
      <c r="AA253" s="87">
        <f>IF((SUM($D253:Z253)+$B253/$C253)&gt;$B253,$B253-SUM($D253:Z253),$B253/$C253)</f>
        <v>0</v>
      </c>
    </row>
    <row r="254" spans="1:27" outlineLevel="1" x14ac:dyDescent="0.25">
      <c r="A254" s="469">
        <v>2012</v>
      </c>
      <c r="B254" s="471">
        <f>G$185</f>
        <v>0</v>
      </c>
      <c r="C254" s="470">
        <f>'Data 2009-15 (Real $2008)'!C$157</f>
        <v>7</v>
      </c>
      <c r="D254" s="480"/>
      <c r="E254" s="480"/>
      <c r="F254" s="480"/>
      <c r="G254" s="87">
        <f>IF($C254=1,$B254,$B254/2/$C254)</f>
        <v>0</v>
      </c>
      <c r="H254" s="87">
        <f>IF((SUM($D254:G254)+$B254/$C254)&gt;$B254,$B254-SUM($D254:G254),$B254/$C254)</f>
        <v>0</v>
      </c>
      <c r="I254" s="87">
        <f>IF((SUM($D254:H254)+$B254/$C254)&gt;$B254,$B254-SUM($D254:H254),$B254/$C254)</f>
        <v>0</v>
      </c>
      <c r="J254" s="87">
        <f>IF((SUM($D254:I254)+$B254/$C254)&gt;$B254,$B254-SUM($D254:I254),$B254/$C254)</f>
        <v>0</v>
      </c>
      <c r="K254" s="87">
        <f>IF((SUM($D254:J254)+$B254/$C254)&gt;$B254,$B254-SUM($D254:J254),$B254/$C254)</f>
        <v>0</v>
      </c>
      <c r="L254" s="87">
        <f>IF((SUM($D254:K254)+$B254/$C254)&gt;$B254,$B254-SUM($D254:K254),$B254/$C254)</f>
        <v>0</v>
      </c>
      <c r="M254" s="87">
        <f>IF((SUM($D254:L254)+$B254/$C254)&gt;$B254,$B254-SUM($D254:L254),$B254/$C254)</f>
        <v>0</v>
      </c>
      <c r="N254" s="87">
        <f>IF((SUM($D254:M254)+$B254/$C254)&gt;$B254,$B254-SUM($D254:M254),$B254/$C254)</f>
        <v>0</v>
      </c>
      <c r="O254" s="87">
        <f>IF((SUM($D254:N254)+$B254/$C254)&gt;$B254,$B254-SUM($D254:N254),$B254/$C254)</f>
        <v>0</v>
      </c>
      <c r="P254" s="87">
        <f>IF((SUM($D254:O254)+$B254/$C254)&gt;$B254,$B254-SUM($D254:O254),$B254/$C254)</f>
        <v>0</v>
      </c>
      <c r="Q254" s="87">
        <f>IF((SUM($D254:P254)+$B254/$C254)&gt;$B254,$B254-SUM($D254:P254),$B254/$C254)</f>
        <v>0</v>
      </c>
      <c r="R254" s="87">
        <f>IF((SUM($D254:Q254)+$B254/$C254)&gt;$B254,$B254-SUM($D254:Q254),$B254/$C254)</f>
        <v>0</v>
      </c>
      <c r="S254" s="87">
        <f>IF((SUM($D254:R254)+$B254/$C254)&gt;$B254,$B254-SUM($D254:R254),$B254/$C254)</f>
        <v>0</v>
      </c>
      <c r="T254" s="87">
        <f>IF((SUM($D254:S254)+$B254/$C254)&gt;$B254,$B254-SUM($D254:S254),$B254/$C254)</f>
        <v>0</v>
      </c>
      <c r="U254" s="87">
        <f>IF((SUM($D254:T254)+$B254/$C254)&gt;$B254,$B254-SUM($D254:T254),$B254/$C254)</f>
        <v>0</v>
      </c>
      <c r="V254" s="87">
        <f>IF((SUM($D254:U254)+$B254/$C254)&gt;$B254,$B254-SUM($D254:U254),$B254/$C254)</f>
        <v>0</v>
      </c>
      <c r="W254" s="87">
        <f>IF((SUM($D254:V254)+$B254/$C254)&gt;$B254,$B254-SUM($D254:V254),$B254/$C254)</f>
        <v>0</v>
      </c>
      <c r="X254" s="87">
        <f>IF((SUM($D254:W254)+$B254/$C254)&gt;$B254,$B254-SUM($D254:W254),$B254/$C254)</f>
        <v>0</v>
      </c>
      <c r="Y254" s="87">
        <f>IF((SUM($D254:X254)+$B254/$C254)&gt;$B254,$B254-SUM($D254:X254),$B254/$C254)</f>
        <v>0</v>
      </c>
      <c r="Z254" s="87">
        <f>IF((SUM($D254:Y254)+$B254/$C254)&gt;$B254,$B254-SUM($D254:Y254),$B254/$C254)</f>
        <v>0</v>
      </c>
      <c r="AA254" s="87">
        <f>IF((SUM($D254:Z254)+$B254/$C254)&gt;$B254,$B254-SUM($D254:Z254),$B254/$C254)</f>
        <v>0</v>
      </c>
    </row>
    <row r="255" spans="1:27" outlineLevel="1" x14ac:dyDescent="0.25">
      <c r="A255" s="469">
        <v>2013</v>
      </c>
      <c r="B255" s="471">
        <f>H$185</f>
        <v>0</v>
      </c>
      <c r="C255" s="470">
        <f>'Data 2009-15 (Real $2008)'!C$157</f>
        <v>7</v>
      </c>
      <c r="D255" s="480"/>
      <c r="E255" s="480"/>
      <c r="F255" s="480"/>
      <c r="G255" s="480"/>
      <c r="H255" s="87">
        <f>IF($C255=1,$B255,$B255/2/$C255)</f>
        <v>0</v>
      </c>
      <c r="I255" s="87">
        <f>IF((SUM($D255:H255)+$B255/$C255)&gt;$B255,$B255-SUM($D255:H255),$B255/$C255)</f>
        <v>0</v>
      </c>
      <c r="J255" s="87">
        <f>IF((SUM($D255:I255)+$B255/$C255)&gt;$B255,$B255-SUM($D255:I255),$B255/$C255)</f>
        <v>0</v>
      </c>
      <c r="K255" s="87">
        <f>IF((SUM($D255:J255)+$B255/$C255)&gt;$B255,$B255-SUM($D255:J255),$B255/$C255)</f>
        <v>0</v>
      </c>
      <c r="L255" s="87">
        <f>IF((SUM($D255:K255)+$B255/$C255)&gt;$B255,$B255-SUM($D255:K255),$B255/$C255)</f>
        <v>0</v>
      </c>
      <c r="M255" s="87">
        <f>IF((SUM($D255:L255)+$B255/$C255)&gt;$B255,$B255-SUM($D255:L255),$B255/$C255)</f>
        <v>0</v>
      </c>
      <c r="N255" s="87">
        <f>IF((SUM($D255:M255)+$B255/$C255)&gt;$B255,$B255-SUM($D255:M255),$B255/$C255)</f>
        <v>0</v>
      </c>
      <c r="O255" s="87">
        <f>IF((SUM($D255:N255)+$B255/$C255)&gt;$B255,$B255-SUM($D255:N255),$B255/$C255)</f>
        <v>0</v>
      </c>
      <c r="P255" s="87">
        <f>IF((SUM($D255:O255)+$B255/$C255)&gt;$B255,$B255-SUM($D255:O255),$B255/$C255)</f>
        <v>0</v>
      </c>
      <c r="Q255" s="87">
        <f>IF((SUM($D255:P255)+$B255/$C255)&gt;$B255,$B255-SUM($D255:P255),$B255/$C255)</f>
        <v>0</v>
      </c>
      <c r="R255" s="87">
        <f>IF((SUM($D255:Q255)+$B255/$C255)&gt;$B255,$B255-SUM($D255:Q255),$B255/$C255)</f>
        <v>0</v>
      </c>
      <c r="S255" s="87">
        <f>IF((SUM($D255:R255)+$B255/$C255)&gt;$B255,$B255-SUM($D255:R255),$B255/$C255)</f>
        <v>0</v>
      </c>
      <c r="T255" s="87">
        <f>IF((SUM($D255:S255)+$B255/$C255)&gt;$B255,$B255-SUM($D255:S255),$B255/$C255)</f>
        <v>0</v>
      </c>
      <c r="U255" s="87">
        <f>IF((SUM($D255:T255)+$B255/$C255)&gt;$B255,$B255-SUM($D255:T255),$B255/$C255)</f>
        <v>0</v>
      </c>
      <c r="V255" s="87">
        <f>IF((SUM($D255:U255)+$B255/$C255)&gt;$B255,$B255-SUM($D255:U255),$B255/$C255)</f>
        <v>0</v>
      </c>
      <c r="W255" s="87">
        <f>IF((SUM($D255:V255)+$B255/$C255)&gt;$B255,$B255-SUM($D255:V255),$B255/$C255)</f>
        <v>0</v>
      </c>
      <c r="X255" s="87">
        <f>IF((SUM($D255:W255)+$B255/$C255)&gt;$B255,$B255-SUM($D255:W255),$B255/$C255)</f>
        <v>0</v>
      </c>
      <c r="Y255" s="87">
        <f>IF((SUM($D255:X255)+$B255/$C255)&gt;$B255,$B255-SUM($D255:X255),$B255/$C255)</f>
        <v>0</v>
      </c>
      <c r="Z255" s="87">
        <f>IF((SUM($D255:Y255)+$B255/$C255)&gt;$B255,$B255-SUM($D255:Y255),$B255/$C255)</f>
        <v>0</v>
      </c>
      <c r="AA255" s="87">
        <f>IF((SUM($D255:Z255)+$B255/$C255)&gt;$B255,$B255-SUM($D255:Z255),$B255/$C255)</f>
        <v>0</v>
      </c>
    </row>
    <row r="256" spans="1:27" outlineLevel="1" x14ac:dyDescent="0.25">
      <c r="A256" s="469">
        <v>2014</v>
      </c>
      <c r="B256" s="471">
        <f>I$185</f>
        <v>0</v>
      </c>
      <c r="C256" s="470">
        <f>'Data 2009-15 (Real $2008)'!C$157</f>
        <v>7</v>
      </c>
      <c r="D256" s="480"/>
      <c r="E256" s="480"/>
      <c r="F256" s="480"/>
      <c r="G256" s="480"/>
      <c r="H256" s="480"/>
      <c r="I256" s="87">
        <f>IF($C256=1,$B256,$B256/2/$C256)</f>
        <v>0</v>
      </c>
      <c r="J256" s="87">
        <f>IF((SUM($D256:I256)+$B256/$C256)&gt;$B256,$B256-SUM($D256:I256),$B256/$C256)</f>
        <v>0</v>
      </c>
      <c r="K256" s="87">
        <f>IF((SUM($D256:J256)+$B256/$C256)&gt;$B256,$B256-SUM($D256:J256),$B256/$C256)</f>
        <v>0</v>
      </c>
      <c r="L256" s="87">
        <f>IF((SUM($D256:K256)+$B256/$C256)&gt;$B256,$B256-SUM($D256:K256),$B256/$C256)</f>
        <v>0</v>
      </c>
      <c r="M256" s="87">
        <f>IF((SUM($D256:L256)+$B256/$C256)&gt;$B256,$B256-SUM($D256:L256),$B256/$C256)</f>
        <v>0</v>
      </c>
      <c r="N256" s="87">
        <f>IF((SUM($D256:M256)+$B256/$C256)&gt;$B256,$B256-SUM($D256:M256),$B256/$C256)</f>
        <v>0</v>
      </c>
      <c r="O256" s="87">
        <f>IF((SUM($D256:N256)+$B256/$C256)&gt;$B256,$B256-SUM($D256:N256),$B256/$C256)</f>
        <v>0</v>
      </c>
      <c r="P256" s="87">
        <f>IF((SUM($D256:O256)+$B256/$C256)&gt;$B256,$B256-SUM($D256:O256),$B256/$C256)</f>
        <v>0</v>
      </c>
      <c r="Q256" s="87">
        <f>IF((SUM($D256:P256)+$B256/$C256)&gt;$B256,$B256-SUM($D256:P256),$B256/$C256)</f>
        <v>0</v>
      </c>
      <c r="R256" s="87">
        <f>IF((SUM($D256:Q256)+$B256/$C256)&gt;$B256,$B256-SUM($D256:Q256),$B256/$C256)</f>
        <v>0</v>
      </c>
      <c r="S256" s="87">
        <f>IF((SUM($D256:R256)+$B256/$C256)&gt;$B256,$B256-SUM($D256:R256),$B256/$C256)</f>
        <v>0</v>
      </c>
      <c r="T256" s="87">
        <f>IF((SUM($D256:S256)+$B256/$C256)&gt;$B256,$B256-SUM($D256:S256),$B256/$C256)</f>
        <v>0</v>
      </c>
      <c r="U256" s="87">
        <f>IF((SUM($D256:T256)+$B256/$C256)&gt;$B256,$B256-SUM($D256:T256),$B256/$C256)</f>
        <v>0</v>
      </c>
      <c r="V256" s="87">
        <f>IF((SUM($D256:U256)+$B256/$C256)&gt;$B256,$B256-SUM($D256:U256),$B256/$C256)</f>
        <v>0</v>
      </c>
      <c r="W256" s="87">
        <f>IF((SUM($D256:V256)+$B256/$C256)&gt;$B256,$B256-SUM($D256:V256),$B256/$C256)</f>
        <v>0</v>
      </c>
      <c r="X256" s="87">
        <f>IF((SUM($D256:W256)+$B256/$C256)&gt;$B256,$B256-SUM($D256:W256),$B256/$C256)</f>
        <v>0</v>
      </c>
      <c r="Y256" s="87">
        <f>IF((SUM($D256:X256)+$B256/$C256)&gt;$B256,$B256-SUM($D256:X256),$B256/$C256)</f>
        <v>0</v>
      </c>
      <c r="Z256" s="87">
        <f>IF((SUM($D256:Y256)+$B256/$C256)&gt;$B256,$B256-SUM($D256:Y256),$B256/$C256)</f>
        <v>0</v>
      </c>
      <c r="AA256" s="87">
        <f>IF((SUM($D256:Z256)+$B256/$C256)&gt;$B256,$B256-SUM($D256:Z256),$B256/$C256)</f>
        <v>0</v>
      </c>
    </row>
    <row r="257" spans="1:27" outlineLevel="1" x14ac:dyDescent="0.25">
      <c r="A257" s="469">
        <v>2015</v>
      </c>
      <c r="B257" s="471">
        <f>J$185</f>
        <v>0</v>
      </c>
      <c r="C257" s="470">
        <f>'Data 2009-15 (Real $2008)'!C$157</f>
        <v>7</v>
      </c>
      <c r="D257" s="480"/>
      <c r="E257" s="480"/>
      <c r="F257" s="480"/>
      <c r="G257" s="480"/>
      <c r="H257" s="480"/>
      <c r="I257" s="480"/>
      <c r="J257" s="87">
        <f>IF($C257=1,$B257,$B257/2/$C257)</f>
        <v>0</v>
      </c>
      <c r="K257" s="87">
        <f>IF((SUM($D257:J257)+$B257/$C257)&gt;$B257,$B257-SUM($D257:J257),$B257/$C257)</f>
        <v>0</v>
      </c>
      <c r="L257" s="87">
        <f>IF((SUM($D257:K257)+$B257/$C257)&gt;$B257,$B257-SUM($D257:K257),$B257/$C257)</f>
        <v>0</v>
      </c>
      <c r="M257" s="87">
        <f>IF((SUM($D257:L257)+$B257/$C257)&gt;$B257,$B257-SUM($D257:L257),$B257/$C257)</f>
        <v>0</v>
      </c>
      <c r="N257" s="87">
        <f>IF((SUM($D257:M257)+$B257/$C257)&gt;$B257,$B257-SUM($D257:M257),$B257/$C257)</f>
        <v>0</v>
      </c>
      <c r="O257" s="87">
        <f>IF((SUM($D257:N257)+$B257/$C257)&gt;$B257,$B257-SUM($D257:N257),$B257/$C257)</f>
        <v>0</v>
      </c>
      <c r="P257" s="87">
        <f>IF((SUM($D257:O257)+$B257/$C257)&gt;$B257,$B257-SUM($D257:O257),$B257/$C257)</f>
        <v>0</v>
      </c>
      <c r="Q257" s="87">
        <f>IF((SUM($D257:P257)+$B257/$C257)&gt;$B257,$B257-SUM($D257:P257),$B257/$C257)</f>
        <v>0</v>
      </c>
      <c r="R257" s="87">
        <f>IF((SUM($D257:Q257)+$B257/$C257)&gt;$B257,$B257-SUM($D257:Q257),$B257/$C257)</f>
        <v>0</v>
      </c>
      <c r="S257" s="87">
        <f>IF((SUM($D257:R257)+$B257/$C257)&gt;$B257,$B257-SUM($D257:R257),$B257/$C257)</f>
        <v>0</v>
      </c>
      <c r="T257" s="87">
        <f>IF((SUM($D257:S257)+$B257/$C257)&gt;$B257,$B257-SUM($D257:S257),$B257/$C257)</f>
        <v>0</v>
      </c>
      <c r="U257" s="87">
        <f>IF((SUM($D257:T257)+$B257/$C257)&gt;$B257,$B257-SUM($D257:T257),$B257/$C257)</f>
        <v>0</v>
      </c>
      <c r="V257" s="87">
        <f>IF((SUM($D257:U257)+$B257/$C257)&gt;$B257,$B257-SUM($D257:U257),$B257/$C257)</f>
        <v>0</v>
      </c>
      <c r="W257" s="87">
        <f>IF((SUM($D257:V257)+$B257/$C257)&gt;$B257,$B257-SUM($D257:V257),$B257/$C257)</f>
        <v>0</v>
      </c>
      <c r="X257" s="87">
        <f>IF((SUM($D257:W257)+$B257/$C257)&gt;$B257,$B257-SUM($D257:W257),$B257/$C257)</f>
        <v>0</v>
      </c>
      <c r="Y257" s="87">
        <f>IF((SUM($D257:X257)+$B257/$C257)&gt;$B257,$B257-SUM($D257:X257),$B257/$C257)</f>
        <v>0</v>
      </c>
      <c r="Z257" s="87">
        <f>IF((SUM($D257:Y257)+$B257/$C257)&gt;$B257,$B257-SUM($D257:Y257),$B257/$C257)</f>
        <v>0</v>
      </c>
      <c r="AA257" s="87">
        <f>IF((SUM($D257:Z257)+$B257/$C257)&gt;$B257,$B257-SUM($D257:Z257),$B257/$C257)</f>
        <v>0</v>
      </c>
    </row>
    <row r="258" spans="1:27" s="469" customFormat="1" outlineLevel="1" x14ac:dyDescent="0.25">
      <c r="B258" s="472">
        <f>SUM(B251:B257)</f>
        <v>0</v>
      </c>
      <c r="D258" s="697">
        <f t="shared" ref="D258:AA258" si="76">SUM(D251:D257)</f>
        <v>0</v>
      </c>
      <c r="E258" s="697">
        <f t="shared" si="76"/>
        <v>0</v>
      </c>
      <c r="F258" s="697">
        <f t="shared" si="76"/>
        <v>0</v>
      </c>
      <c r="G258" s="697">
        <f t="shared" si="76"/>
        <v>0</v>
      </c>
      <c r="H258" s="697">
        <f t="shared" si="76"/>
        <v>0</v>
      </c>
      <c r="I258" s="697">
        <f t="shared" si="76"/>
        <v>0</v>
      </c>
      <c r="J258" s="697">
        <f t="shared" si="76"/>
        <v>0</v>
      </c>
      <c r="K258" s="697">
        <f t="shared" si="76"/>
        <v>0</v>
      </c>
      <c r="L258" s="697">
        <f t="shared" si="76"/>
        <v>0</v>
      </c>
      <c r="M258" s="697">
        <f t="shared" si="76"/>
        <v>0</v>
      </c>
      <c r="N258" s="697">
        <f t="shared" si="76"/>
        <v>0</v>
      </c>
      <c r="O258" s="697">
        <f t="shared" si="76"/>
        <v>0</v>
      </c>
      <c r="P258" s="697">
        <f t="shared" si="76"/>
        <v>0</v>
      </c>
      <c r="Q258" s="697">
        <f t="shared" si="76"/>
        <v>0</v>
      </c>
      <c r="R258" s="697">
        <f t="shared" si="76"/>
        <v>0</v>
      </c>
      <c r="S258" s="697">
        <f t="shared" si="76"/>
        <v>0</v>
      </c>
      <c r="T258" s="697">
        <f t="shared" si="76"/>
        <v>0</v>
      </c>
      <c r="U258" s="697">
        <f t="shared" si="76"/>
        <v>0</v>
      </c>
      <c r="V258" s="697">
        <f t="shared" si="76"/>
        <v>0</v>
      </c>
      <c r="W258" s="697">
        <f t="shared" si="76"/>
        <v>0</v>
      </c>
      <c r="X258" s="697">
        <f t="shared" si="76"/>
        <v>0</v>
      </c>
      <c r="Y258" s="697">
        <f t="shared" si="76"/>
        <v>0</v>
      </c>
      <c r="Z258" s="697">
        <f t="shared" si="76"/>
        <v>0</v>
      </c>
      <c r="AA258" s="697">
        <f t="shared" si="76"/>
        <v>0</v>
      </c>
    </row>
    <row r="259" spans="1:27" outlineLevel="1" x14ac:dyDescent="0.25"/>
    <row r="260" spans="1:27" outlineLevel="1" x14ac:dyDescent="0.25"/>
    <row r="261" spans="1:27" ht="13.8" outlineLevel="1" thickBot="1" x14ac:dyDescent="0.3">
      <c r="A261" s="476" t="s">
        <v>45</v>
      </c>
      <c r="B261" s="477">
        <f>SUM(B198,B210,B222,B234,B246,B258)</f>
        <v>553124.44887189649</v>
      </c>
      <c r="C261" s="476"/>
      <c r="D261" s="479">
        <f>SUM(D198,D210,D222,D234,D246,D258)</f>
        <v>2960.877503875261</v>
      </c>
      <c r="E261" s="479">
        <f t="shared" ref="E261:W261" si="77">SUM(E198,E210,E222,E234,E246,E258)</f>
        <v>11605.156166862091</v>
      </c>
      <c r="F261" s="479">
        <f t="shared" si="77"/>
        <v>21886.848405130579</v>
      </c>
      <c r="G261" s="479">
        <f t="shared" si="77"/>
        <v>32498.96763696917</v>
      </c>
      <c r="H261" s="479">
        <f t="shared" si="77"/>
        <v>42967.779951200297</v>
      </c>
      <c r="I261" s="479">
        <f t="shared" si="77"/>
        <v>44082.860245841395</v>
      </c>
      <c r="J261" s="479">
        <f t="shared" si="77"/>
        <v>49727.091389311521</v>
      </c>
      <c r="K261" s="479">
        <f t="shared" si="77"/>
        <v>51087.344245692671</v>
      </c>
      <c r="L261" s="479">
        <f t="shared" si="77"/>
        <v>46029.508410919574</v>
      </c>
      <c r="M261" s="479">
        <f t="shared" si="77"/>
        <v>40727.881241940959</v>
      </c>
      <c r="N261" s="479">
        <f t="shared" si="77"/>
        <v>35499.251579882322</v>
      </c>
      <c r="O261" s="479">
        <f t="shared" si="77"/>
        <v>30650.610477500279</v>
      </c>
      <c r="P261" s="479">
        <f t="shared" si="77"/>
        <v>27582.800045748612</v>
      </c>
      <c r="Q261" s="479">
        <f t="shared" si="77"/>
        <v>23192.316453720778</v>
      </c>
      <c r="R261" s="479">
        <f t="shared" si="77"/>
        <v>20145.286878984491</v>
      </c>
      <c r="S261" s="479">
        <f t="shared" si="77"/>
        <v>20106.625871752458</v>
      </c>
      <c r="T261" s="479">
        <f t="shared" si="77"/>
        <v>19136.941182686664</v>
      </c>
      <c r="U261" s="479">
        <f t="shared" si="77"/>
        <v>15757.730195601889</v>
      </c>
      <c r="V261" s="479">
        <f t="shared" si="77"/>
        <v>10639.14674370705</v>
      </c>
      <c r="W261" s="479">
        <f t="shared" si="77"/>
        <v>5238.1228499739591</v>
      </c>
      <c r="X261" s="479">
        <f>SUM(X198,X210,X222,X234,X246,X258)</f>
        <v>1427.5244730183945</v>
      </c>
      <c r="Y261" s="479">
        <f>SUM(Y198,Y210,Y222,Y234,Y246,Y258)</f>
        <v>173.7769215760818</v>
      </c>
      <c r="Z261" s="479">
        <f>SUM(Z198,Z210,Z222,Z234,Z246,Z258)</f>
        <v>0</v>
      </c>
      <c r="AA261" s="479">
        <f>SUM(AA198,AA210,AA222,AA234,AA246,AA258)</f>
        <v>0</v>
      </c>
    </row>
    <row r="262" spans="1:27" ht="13.8" thickTop="1" x14ac:dyDescent="0.25"/>
  </sheetData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5"/>
  <sheetViews>
    <sheetView zoomScale="85" workbookViewId="0">
      <pane ySplit="1" topLeftCell="A2" activePane="bottomLeft" state="frozen"/>
      <selection pane="bottomLeft" activeCell="B1" sqref="B1"/>
    </sheetView>
  </sheetViews>
  <sheetFormatPr defaultColWidth="9.109375" defaultRowHeight="13.2" x14ac:dyDescent="0.25"/>
  <cols>
    <col min="1" max="1" width="63.109375" style="57" customWidth="1"/>
    <col min="2" max="2" width="10" style="57" customWidth="1"/>
    <col min="3" max="3" width="11.44140625" style="57" customWidth="1"/>
    <col min="4" max="4" width="16.33203125" style="57" customWidth="1"/>
    <col min="5" max="5" width="13.109375" style="57" customWidth="1"/>
    <col min="6" max="6" width="12.88671875" style="57" customWidth="1"/>
    <col min="7" max="7" width="12.6640625" style="57" customWidth="1"/>
    <col min="8" max="8" width="14.44140625" style="57" customWidth="1"/>
    <col min="9" max="9" width="11.5546875" style="57" bestFit="1" customWidth="1"/>
    <col min="10" max="10" width="10" style="57" customWidth="1"/>
    <col min="11" max="11" width="9.109375" style="57"/>
    <col min="12" max="14" width="9.33203125" style="57" bestFit="1" customWidth="1"/>
    <col min="15" max="16" width="10" style="57" customWidth="1"/>
    <col min="17" max="17" width="9.44140625" style="57" bestFit="1" customWidth="1"/>
    <col min="18" max="18" width="9.88671875" style="57" customWidth="1"/>
    <col min="19" max="16384" width="9.109375" style="57"/>
  </cols>
  <sheetData>
    <row r="1" spans="1:11" ht="15.6" x14ac:dyDescent="0.3">
      <c r="A1" s="555" t="str">
        <f>'Data 2006-08'!$A$1</f>
        <v>SP AusNet</v>
      </c>
      <c r="B1" s="342"/>
      <c r="C1" s="342"/>
      <c r="D1" s="348">
        <v>2006</v>
      </c>
      <c r="E1" s="348">
        <v>2007</v>
      </c>
      <c r="F1" s="348">
        <v>2008</v>
      </c>
      <c r="G1" s="77">
        <v>2009</v>
      </c>
      <c r="H1" s="77">
        <v>2010</v>
      </c>
      <c r="I1" s="77">
        <v>2011</v>
      </c>
      <c r="J1" s="77">
        <v>2012</v>
      </c>
      <c r="K1" s="77">
        <v>2013</v>
      </c>
    </row>
    <row r="2" spans="1:11" ht="15.6" x14ac:dyDescent="0.3">
      <c r="B2" s="342"/>
      <c r="C2" s="342"/>
    </row>
    <row r="3" spans="1:11" x14ac:dyDescent="0.25">
      <c r="A3" s="345"/>
      <c r="B3" s="346"/>
      <c r="C3" s="346"/>
      <c r="D3" s="348">
        <v>2006</v>
      </c>
      <c r="E3" s="348">
        <v>2007</v>
      </c>
      <c r="F3" s="348">
        <v>2008</v>
      </c>
      <c r="G3" s="77">
        <v>2009</v>
      </c>
      <c r="H3" s="77">
        <v>2010</v>
      </c>
      <c r="I3" s="77">
        <v>2011</v>
      </c>
      <c r="J3" s="77">
        <v>2012</v>
      </c>
      <c r="K3" s="77">
        <v>2013</v>
      </c>
    </row>
    <row r="4" spans="1:11" x14ac:dyDescent="0.25">
      <c r="A4" s="422" t="s">
        <v>86</v>
      </c>
      <c r="B4" s="346"/>
      <c r="C4" s="346"/>
      <c r="D4" s="421">
        <f>'Data 2006-08'!D155</f>
        <v>3.0261348005502064E-2</v>
      </c>
      <c r="E4" s="421">
        <f>'Data 2006-08'!E155</f>
        <v>3.9385847797062556E-2</v>
      </c>
      <c r="F4" s="421">
        <f>'Data 2006-08'!F155</f>
        <v>1.862556197816323E-2</v>
      </c>
      <c r="G4" s="428">
        <f>'Data 2009-15 (Real $2008)'!D144</f>
        <v>4.9810844892812067E-2</v>
      </c>
      <c r="H4" s="428">
        <f>'Data 2009-15 (Real $2008)'!E144</f>
        <v>1.2612612612612484E-2</v>
      </c>
      <c r="I4" s="428">
        <f>'Data 2009-15 (Real $2008)'!F144</f>
        <v>2.7876631079478242E-2</v>
      </c>
      <c r="J4" s="428">
        <f>'Data 2009-15 (Real $2008)'!G144</f>
        <v>3.5199076745527913E-2</v>
      </c>
      <c r="K4" s="428">
        <f>'Data 2009-15 (Real $2008)'!H144</f>
        <v>2.0040080160320661E-2</v>
      </c>
    </row>
    <row r="5" spans="1:11" x14ac:dyDescent="0.25">
      <c r="A5" s="279" t="str">
        <f>'Data 2006-08'!A141</f>
        <v>'Vanilla' after tax WACC (real)</v>
      </c>
      <c r="B5" s="280"/>
      <c r="C5" s="280"/>
      <c r="D5" s="405">
        <f>'Data 2006-08'!$C$141</f>
        <v>5.8999999999999997E-2</v>
      </c>
      <c r="E5" s="405">
        <f>'Data 2006-08'!$C$141</f>
        <v>5.8999999999999997E-2</v>
      </c>
      <c r="F5" s="405">
        <f>'Data 2006-08'!$C$141</f>
        <v>5.8999999999999997E-2</v>
      </c>
      <c r="G5" s="428">
        <f>'AMI Building Blocks 2009-15'!$C$18</f>
        <v>6.7716458658346301E-2</v>
      </c>
      <c r="H5" s="428">
        <f>'AMI Building Blocks 2009-15'!$C$18</f>
        <v>6.7716458658346301E-2</v>
      </c>
      <c r="I5" s="428">
        <f>'AMI Building Blocks 2009-15'!$C$18</f>
        <v>6.7716458658346301E-2</v>
      </c>
      <c r="J5" s="428">
        <f>'AMI Building Blocks 2009-15'!$C$18</f>
        <v>6.7716458658346301E-2</v>
      </c>
      <c r="K5" s="428">
        <f>'AMI Building Blocks 2009-15'!$C$18</f>
        <v>6.7716458658346301E-2</v>
      </c>
    </row>
    <row r="6" spans="1:11" x14ac:dyDescent="0.25">
      <c r="A6" s="423" t="s">
        <v>296</v>
      </c>
      <c r="B6" s="346"/>
      <c r="C6" s="346"/>
      <c r="D6" s="421">
        <f t="shared" ref="D6:K6" si="0">(1+D4)*(1+D5)-1</f>
        <v>9.1046767537826589E-2</v>
      </c>
      <c r="E6" s="421">
        <f t="shared" si="0"/>
        <v>0.10070961281708923</v>
      </c>
      <c r="F6" s="421">
        <f t="shared" si="0"/>
        <v>7.8724470134874824E-2</v>
      </c>
      <c r="G6" s="421">
        <f t="shared" si="0"/>
        <v>0.1209003175700798</v>
      </c>
      <c r="H6" s="421">
        <f t="shared" si="0"/>
        <v>8.1183152731514552E-2</v>
      </c>
      <c r="I6" s="421">
        <f t="shared" si="0"/>
        <v>9.7480796473851994E-2</v>
      </c>
      <c r="J6" s="421">
        <f t="shared" si="0"/>
        <v>0.10529909222912481</v>
      </c>
      <c r="K6" s="421">
        <f t="shared" si="0"/>
        <v>8.9113582078353293E-2</v>
      </c>
    </row>
    <row r="7" spans="1:11" x14ac:dyDescent="0.25">
      <c r="A7" s="345"/>
      <c r="B7" s="346"/>
      <c r="C7" s="346"/>
      <c r="D7" s="347"/>
      <c r="E7" s="347"/>
      <c r="F7" s="347"/>
      <c r="G7" s="347"/>
      <c r="H7" s="347"/>
      <c r="I7" s="347"/>
      <c r="J7" s="347"/>
    </row>
    <row r="8" spans="1:11" x14ac:dyDescent="0.25">
      <c r="A8" s="345"/>
      <c r="B8" s="346"/>
      <c r="C8" s="346"/>
      <c r="D8" s="347"/>
      <c r="E8" s="347"/>
      <c r="F8" s="347"/>
      <c r="G8" s="347"/>
      <c r="H8" s="347"/>
      <c r="I8" s="347"/>
      <c r="J8" s="347"/>
    </row>
    <row r="9" spans="1:11" x14ac:dyDescent="0.25">
      <c r="A9" s="345"/>
      <c r="B9" s="346"/>
      <c r="C9" s="346"/>
      <c r="D9" s="347"/>
      <c r="E9" s="347"/>
      <c r="F9" s="347"/>
      <c r="G9" s="347"/>
      <c r="H9" s="347"/>
      <c r="I9" s="347"/>
      <c r="J9" s="347"/>
    </row>
    <row r="10" spans="1:11" x14ac:dyDescent="0.25">
      <c r="A10" s="500" t="s">
        <v>344</v>
      </c>
      <c r="B10" s="346"/>
      <c r="C10" s="346"/>
      <c r="D10" s="348">
        <v>2006</v>
      </c>
      <c r="E10" s="348">
        <v>2007</v>
      </c>
      <c r="F10" s="348">
        <v>2008</v>
      </c>
      <c r="G10" s="77">
        <v>2009</v>
      </c>
      <c r="H10" s="77">
        <v>2010</v>
      </c>
      <c r="I10" s="77">
        <v>2011</v>
      </c>
      <c r="J10" s="77">
        <v>2012</v>
      </c>
      <c r="K10" s="77">
        <v>2013</v>
      </c>
    </row>
    <row r="11" spans="1:11" x14ac:dyDescent="0.25">
      <c r="A11" s="409" t="s">
        <v>297</v>
      </c>
      <c r="B11" s="346"/>
      <c r="C11" s="346"/>
      <c r="D11" s="347"/>
      <c r="E11" s="347"/>
      <c r="F11" s="347"/>
      <c r="G11" s="347"/>
      <c r="H11" s="347"/>
      <c r="I11" s="347"/>
      <c r="J11" s="347"/>
    </row>
    <row r="12" spans="1:11" x14ac:dyDescent="0.25">
      <c r="A12" s="422" t="s">
        <v>299</v>
      </c>
      <c r="B12" s="346"/>
      <c r="C12" s="346"/>
      <c r="D12" s="347">
        <f>D73</f>
        <v>-6396.9703917261177</v>
      </c>
      <c r="E12" s="347">
        <f>E73</f>
        <v>-10052.752619858724</v>
      </c>
      <c r="F12" s="347">
        <f>F73</f>
        <v>-12563.022288858512</v>
      </c>
      <c r="G12" s="532"/>
      <c r="H12" s="532"/>
      <c r="I12" s="532"/>
      <c r="J12" s="532"/>
      <c r="K12" s="522"/>
    </row>
    <row r="13" spans="1:11" x14ac:dyDescent="0.25">
      <c r="A13" s="422" t="s">
        <v>305</v>
      </c>
      <c r="B13" s="346"/>
      <c r="C13" s="346"/>
      <c r="D13" s="347">
        <f>D36</f>
        <v>349.65698705518452</v>
      </c>
      <c r="E13" s="347">
        <f>E36</f>
        <v>445.43908980331764</v>
      </c>
      <c r="F13" s="347">
        <f>F36</f>
        <v>1172.2828490463751</v>
      </c>
      <c r="G13" s="347">
        <f>G36</f>
        <v>1820.6991432179509</v>
      </c>
      <c r="H13" s="347">
        <f>H36</f>
        <v>1750.0732202312292</v>
      </c>
      <c r="I13" s="532"/>
      <c r="J13" s="532"/>
      <c r="K13" s="522"/>
    </row>
    <row r="14" spans="1:11" x14ac:dyDescent="0.25">
      <c r="A14" s="422" t="s">
        <v>304</v>
      </c>
      <c r="B14" s="346"/>
      <c r="C14" s="346"/>
      <c r="D14" s="380">
        <f>D65</f>
        <v>1222.326640450488</v>
      </c>
      <c r="E14" s="380">
        <f t="shared" ref="E14:K14" si="1">E65</f>
        <v>2391.8342899975596</v>
      </c>
      <c r="F14" s="380">
        <f t="shared" si="1"/>
        <v>1220.901340308912</v>
      </c>
      <c r="G14" s="380">
        <f t="shared" si="1"/>
        <v>1281.7154676004657</v>
      </c>
      <c r="H14" s="380">
        <f t="shared" si="1"/>
        <v>1297.8812482729038</v>
      </c>
      <c r="I14" s="380">
        <f t="shared" si="1"/>
        <v>1334.0618050159803</v>
      </c>
      <c r="J14" s="380">
        <f t="shared" si="1"/>
        <v>-82.83491906201624</v>
      </c>
      <c r="K14" s="380">
        <f t="shared" si="1"/>
        <v>-1402.4426101236761</v>
      </c>
    </row>
    <row r="15" spans="1:11" x14ac:dyDescent="0.25">
      <c r="A15" s="422" t="s">
        <v>306</v>
      </c>
      <c r="B15" s="346"/>
      <c r="C15" s="346"/>
      <c r="D15" s="347">
        <f>'Data 2006-08'!D115/10^3</f>
        <v>1027.69805</v>
      </c>
      <c r="E15" s="347">
        <f>'Data 2006-08'!E115/10^3</f>
        <v>3360.2787199999998</v>
      </c>
      <c r="F15" s="347">
        <f>'Data 2006-08'!F115/10^3</f>
        <v>8008.2368345795639</v>
      </c>
      <c r="G15" s="532"/>
      <c r="H15" s="532"/>
      <c r="I15" s="532"/>
      <c r="J15" s="532"/>
      <c r="K15" s="522"/>
    </row>
    <row r="16" spans="1:11" x14ac:dyDescent="0.25">
      <c r="A16" s="422" t="s">
        <v>45</v>
      </c>
      <c r="B16" s="346"/>
      <c r="C16" s="346"/>
      <c r="D16" s="389">
        <f t="shared" ref="D16:K16" si="2">SUM(D12:D15)</f>
        <v>-3797.2887142204445</v>
      </c>
      <c r="E16" s="389">
        <f t="shared" si="2"/>
        <v>-3855.2005200578465</v>
      </c>
      <c r="F16" s="389">
        <f t="shared" si="2"/>
        <v>-2161.6012649236618</v>
      </c>
      <c r="G16" s="389">
        <f t="shared" si="2"/>
        <v>3102.4146108184168</v>
      </c>
      <c r="H16" s="389">
        <f t="shared" si="2"/>
        <v>3047.9544685041328</v>
      </c>
      <c r="I16" s="389">
        <f t="shared" si="2"/>
        <v>1334.0618050159803</v>
      </c>
      <c r="J16" s="389">
        <f t="shared" si="2"/>
        <v>-82.83491906201624</v>
      </c>
      <c r="K16" s="389">
        <f t="shared" si="2"/>
        <v>-1402.4426101236761</v>
      </c>
    </row>
    <row r="17" spans="1:11" x14ac:dyDescent="0.25">
      <c r="A17" s="345"/>
      <c r="B17" s="346"/>
      <c r="C17" s="346"/>
      <c r="D17" s="347"/>
      <c r="E17" s="347"/>
      <c r="F17" s="347"/>
      <c r="G17" s="347"/>
      <c r="H17" s="347"/>
      <c r="I17" s="347"/>
      <c r="J17" s="347"/>
    </row>
    <row r="18" spans="1:11" x14ac:dyDescent="0.25">
      <c r="A18" s="422" t="s">
        <v>307</v>
      </c>
      <c r="B18" s="346"/>
      <c r="C18" s="346"/>
      <c r="D18" s="426">
        <f>E18*(1+E6)</f>
        <v>1.330914884346738</v>
      </c>
      <c r="E18" s="426">
        <f>F18*(1+F6)</f>
        <v>1.2091426011447972</v>
      </c>
      <c r="F18" s="426">
        <f>G18*(1+G6)</f>
        <v>1.1209003175700798</v>
      </c>
      <c r="G18" s="427">
        <v>1</v>
      </c>
      <c r="H18" s="426">
        <f>G18/(1+H6)</f>
        <v>0.92491267318917014</v>
      </c>
      <c r="I18" s="426">
        <f>H18/(1+I6)</f>
        <v>0.84275977872311369</v>
      </c>
      <c r="J18" s="426">
        <f>I18/(1+J6)</f>
        <v>0.7624721531467723</v>
      </c>
      <c r="K18" s="426">
        <f>J18/(1+K6)</f>
        <v>0.70008506522501368</v>
      </c>
    </row>
    <row r="19" spans="1:11" x14ac:dyDescent="0.25">
      <c r="A19" s="422"/>
      <c r="B19" s="346"/>
      <c r="C19" s="346"/>
      <c r="D19" s="426"/>
      <c r="E19" s="426"/>
      <c r="F19" s="426"/>
      <c r="G19" s="427"/>
      <c r="H19" s="427"/>
      <c r="I19" s="427"/>
      <c r="J19" s="426"/>
      <c r="K19" s="426"/>
    </row>
    <row r="20" spans="1:11" ht="13.8" thickBot="1" x14ac:dyDescent="0.3">
      <c r="A20" s="430" t="s">
        <v>345</v>
      </c>
      <c r="B20" s="431"/>
      <c r="C20" s="431"/>
      <c r="D20" s="534"/>
      <c r="E20" s="534"/>
      <c r="F20" s="534"/>
      <c r="G20" s="429">
        <f>SUMPRODUCT(D16:K16,D18:K18)</f>
        <v>-6137.4832866242659</v>
      </c>
      <c r="H20" s="533"/>
      <c r="I20" s="533"/>
      <c r="J20" s="534"/>
      <c r="K20" s="534"/>
    </row>
    <row r="21" spans="1:11" ht="13.8" thickTop="1" x14ac:dyDescent="0.25">
      <c r="A21" s="345"/>
      <c r="B21" s="346"/>
      <c r="C21" s="346"/>
      <c r="D21" s="347"/>
      <c r="E21" s="347"/>
      <c r="F21" s="347"/>
      <c r="G21" s="347"/>
      <c r="H21" s="347"/>
      <c r="I21" s="347"/>
      <c r="J21" s="347"/>
    </row>
    <row r="22" spans="1:11" x14ac:dyDescent="0.25">
      <c r="A22" s="345"/>
      <c r="B22" s="346"/>
      <c r="C22" s="346"/>
      <c r="D22" s="347"/>
      <c r="E22" s="347"/>
      <c r="F22" s="347"/>
      <c r="G22" s="347"/>
      <c r="H22" s="347"/>
      <c r="I22" s="347"/>
      <c r="J22" s="347"/>
    </row>
    <row r="23" spans="1:11" x14ac:dyDescent="0.25">
      <c r="A23" s="345"/>
      <c r="B23" s="346"/>
      <c r="C23" s="346"/>
      <c r="D23" s="347"/>
      <c r="E23" s="347"/>
      <c r="F23" s="347"/>
      <c r="G23" s="347"/>
      <c r="H23" s="347"/>
      <c r="I23" s="347"/>
      <c r="J23" s="347"/>
    </row>
    <row r="24" spans="1:11" x14ac:dyDescent="0.25">
      <c r="A24" s="43" t="s">
        <v>303</v>
      </c>
      <c r="D24" s="77">
        <v>2006</v>
      </c>
      <c r="E24" s="77">
        <v>2007</v>
      </c>
      <c r="F24" s="77">
        <v>2008</v>
      </c>
      <c r="G24" s="77">
        <v>2009</v>
      </c>
      <c r="H24" s="77">
        <v>2010</v>
      </c>
    </row>
    <row r="25" spans="1:11" x14ac:dyDescent="0.25">
      <c r="A25" s="409" t="s">
        <v>300</v>
      </c>
      <c r="D25" s="307"/>
      <c r="E25" s="275"/>
      <c r="F25" s="275"/>
      <c r="G25" s="275"/>
      <c r="H25" s="275"/>
    </row>
    <row r="26" spans="1:11" x14ac:dyDescent="0.25">
      <c r="A26" s="85" t="s">
        <v>301</v>
      </c>
      <c r="D26" s="275">
        <f>-IF('Data 2006-08'!D184&gt;0,0,'Data 2006-08'!D184/'Data 2006-08'!D185/10^3)</f>
        <v>1879.5424646844892</v>
      </c>
      <c r="E26" s="275">
        <f>-IF('Data 2006-08'!E184&gt;0,0,'Data 2006-08'!E184/'Data 2006-08'!E185/10^3)</f>
        <v>2303.6763203551163</v>
      </c>
      <c r="F26" s="275">
        <f>-IF('Data 2006-08'!F184&gt;0,0,'Data 2006-08'!F184/'Data 2006-08'!F185/10^3)</f>
        <v>5951.8362304357488</v>
      </c>
      <c r="G26" s="275">
        <f>-IF('Data 2006-08'!G184&gt;0,0,'Data 2006-08'!G184/'Data 2006-08'!G185/10^3)</f>
        <v>8805.3311717149263</v>
      </c>
      <c r="H26" s="275">
        <f>-IF('Data 2006-08'!H184&gt;0,0,'Data 2006-08'!H184/'Data 2006-08'!H185/10^3)</f>
        <v>8358.3469318160987</v>
      </c>
    </row>
    <row r="27" spans="1:11" x14ac:dyDescent="0.25">
      <c r="A27" s="84" t="s">
        <v>131</v>
      </c>
      <c r="D27" s="275">
        <f>D26*'Data 2006-08'!$C$169/(1-'Data 2006-08'!$C$169*(1-'Data 2006-08'!$C$170))</f>
        <v>663.36792871217256</v>
      </c>
      <c r="E27" s="275">
        <f>E26*'Data 2006-08'!$C$169/(1-'Data 2006-08'!$C$169*(1-'Data 2006-08'!$C$170))</f>
        <v>813.06223071357044</v>
      </c>
      <c r="F27" s="275">
        <f>F26*'Data 2006-08'!$C$169/(1-'Data 2006-08'!$C$169*(1-'Data 2006-08'!$C$170))</f>
        <v>2100.6480813302642</v>
      </c>
      <c r="G27" s="275">
        <f>G26*'Data 2006-08'!$C$169/(1-'Data 2006-08'!$C$169*(1-'Data 2006-08'!$C$170))</f>
        <v>3107.7639429582091</v>
      </c>
      <c r="H27" s="275">
        <f>H26*'Data 2006-08'!$C$169/(1-'Data 2006-08'!$C$169*(1-'Data 2006-08'!$C$170))</f>
        <v>2950.0047994645051</v>
      </c>
    </row>
    <row r="28" spans="1:11" x14ac:dyDescent="0.25">
      <c r="A28" s="279" t="s">
        <v>132</v>
      </c>
      <c r="D28" s="275">
        <f>D27*'Data 2006-08'!$C$170</f>
        <v>331.68396435608628</v>
      </c>
      <c r="E28" s="275">
        <f>E27*'Data 2006-08'!$C$170</f>
        <v>406.53111535678522</v>
      </c>
      <c r="F28" s="275">
        <f>F27*'Data 2006-08'!$C$170</f>
        <v>1050.3240406651321</v>
      </c>
      <c r="G28" s="275">
        <f>G27*'Data 2006-08'!$C$170</f>
        <v>1553.8819714791045</v>
      </c>
      <c r="H28" s="275">
        <f>H27*'Data 2006-08'!$C$170</f>
        <v>1475.0023997322526</v>
      </c>
    </row>
    <row r="29" spans="1:11" ht="13.8" thickBot="1" x14ac:dyDescent="0.3">
      <c r="A29" s="57" t="s">
        <v>302</v>
      </c>
      <c r="D29" s="419">
        <f>D27-D28</f>
        <v>331.68396435608628</v>
      </c>
      <c r="E29" s="419">
        <f>E27-E28</f>
        <v>406.53111535678522</v>
      </c>
      <c r="F29" s="419">
        <f>F27-F28</f>
        <v>1050.3240406651321</v>
      </c>
      <c r="G29" s="419">
        <f>G27-G28</f>
        <v>1553.8819714791045</v>
      </c>
      <c r="H29" s="419">
        <f>H27-H28</f>
        <v>1475.0023997322526</v>
      </c>
    </row>
    <row r="30" spans="1:11" ht="13.8" thickTop="1" x14ac:dyDescent="0.25">
      <c r="D30" s="275"/>
      <c r="E30" s="275"/>
      <c r="F30" s="275"/>
      <c r="G30" s="275"/>
      <c r="H30" s="275"/>
    </row>
    <row r="31" spans="1:11" x14ac:dyDescent="0.25">
      <c r="A31" s="57" t="s">
        <v>302</v>
      </c>
      <c r="D31" s="275"/>
      <c r="E31" s="275"/>
      <c r="F31" s="275"/>
      <c r="G31" s="275"/>
      <c r="H31" s="275"/>
    </row>
    <row r="32" spans="1:11" x14ac:dyDescent="0.25">
      <c r="A32" s="409" t="s">
        <v>289</v>
      </c>
      <c r="D32" s="381">
        <f>D29*'Data 2006-08'!$B$156</f>
        <v>370.19758442558248</v>
      </c>
      <c r="E32" s="381">
        <f>E29*'Data 2006-08'!$B$156</f>
        <v>453.73564317794597</v>
      </c>
      <c r="F32" s="381">
        <f>F29*'Data 2006-08'!$B$156</f>
        <v>1172.2828490463751</v>
      </c>
      <c r="G32" s="381">
        <f>G29*'Data 2006-08'!$B$156</f>
        <v>1734.3116163025047</v>
      </c>
      <c r="H32" s="381">
        <f>H29*'Data 2006-08'!$B$156</f>
        <v>1646.2729106089739</v>
      </c>
    </row>
    <row r="33" spans="1:11" x14ac:dyDescent="0.25">
      <c r="D33" s="275"/>
      <c r="E33" s="275"/>
      <c r="F33" s="275"/>
      <c r="G33" s="275"/>
      <c r="H33" s="275"/>
    </row>
    <row r="34" spans="1:11" x14ac:dyDescent="0.25">
      <c r="D34" s="275"/>
      <c r="E34" s="275"/>
      <c r="F34" s="275"/>
      <c r="G34" s="275"/>
      <c r="H34" s="275"/>
    </row>
    <row r="35" spans="1:11" x14ac:dyDescent="0.25">
      <c r="A35" s="57" t="s">
        <v>302</v>
      </c>
      <c r="D35" s="77">
        <v>2006</v>
      </c>
      <c r="E35" s="77">
        <v>2007</v>
      </c>
      <c r="F35" s="77">
        <v>2008</v>
      </c>
      <c r="G35" s="77">
        <v>2009</v>
      </c>
      <c r="H35" s="77">
        <v>2010</v>
      </c>
    </row>
    <row r="36" spans="1:11" x14ac:dyDescent="0.25">
      <c r="A36" s="409" t="s">
        <v>297</v>
      </c>
      <c r="D36" s="275">
        <f>D32/'Data 2006-08'!D156</f>
        <v>349.65698705518452</v>
      </c>
      <c r="E36" s="275">
        <f>E32/'Data 2006-08'!E156</f>
        <v>445.43908980331764</v>
      </c>
      <c r="F36" s="275">
        <f>F32/'Data 2006-08'!F156</f>
        <v>1172.2828490463751</v>
      </c>
      <c r="G36" s="275">
        <f>G32*'Data 2009-15 (Real $2008)'!D145</f>
        <v>1820.6991432179509</v>
      </c>
      <c r="H36" s="275">
        <f>H32*'Data 2009-15 (Real $2008)'!E145</f>
        <v>1750.0732202312292</v>
      </c>
    </row>
    <row r="37" spans="1:11" x14ac:dyDescent="0.25">
      <c r="D37" s="275"/>
      <c r="E37" s="275"/>
      <c r="F37" s="275"/>
      <c r="G37" s="275"/>
      <c r="H37" s="275"/>
    </row>
    <row r="38" spans="1:11" ht="13.8" thickBot="1" x14ac:dyDescent="0.3">
      <c r="A38" s="535"/>
      <c r="B38" s="535"/>
      <c r="C38" s="535"/>
      <c r="D38" s="536"/>
      <c r="E38" s="536"/>
      <c r="F38" s="536"/>
      <c r="G38" s="536"/>
      <c r="H38" s="536"/>
      <c r="I38" s="535"/>
      <c r="J38" s="535"/>
      <c r="K38" s="535"/>
    </row>
    <row r="39" spans="1:11" x14ac:dyDescent="0.25">
      <c r="D39" s="275"/>
      <c r="E39" s="275"/>
      <c r="F39" s="275"/>
      <c r="G39" s="275"/>
      <c r="H39" s="275"/>
    </row>
    <row r="40" spans="1:11" x14ac:dyDescent="0.25">
      <c r="A40" s="43" t="s">
        <v>304</v>
      </c>
      <c r="D40" s="77">
        <v>2006</v>
      </c>
      <c r="E40" s="77">
        <v>2007</v>
      </c>
      <c r="F40" s="77">
        <v>2008</v>
      </c>
      <c r="G40" s="77">
        <v>2009</v>
      </c>
      <c r="H40" s="77">
        <v>2010</v>
      </c>
      <c r="I40" s="77">
        <v>2011</v>
      </c>
      <c r="J40" s="77">
        <v>2012</v>
      </c>
      <c r="K40" s="77">
        <v>2013</v>
      </c>
    </row>
    <row r="41" spans="1:11" x14ac:dyDescent="0.25">
      <c r="A41" s="409" t="s">
        <v>289</v>
      </c>
      <c r="D41" s="275"/>
      <c r="E41" s="275"/>
      <c r="F41" s="275"/>
      <c r="G41" s="275"/>
      <c r="H41" s="275"/>
    </row>
    <row r="42" spans="1:11" x14ac:dyDescent="0.25">
      <c r="A42" s="344" t="s">
        <v>354</v>
      </c>
    </row>
    <row r="43" spans="1:11" x14ac:dyDescent="0.25">
      <c r="A43" s="280" t="s">
        <v>310</v>
      </c>
      <c r="D43" s="275">
        <f>'Data 2006-08'!D205*'Data 2006-08'!D59*'Data 2006-08'!$B$156/10^3</f>
        <v>1367.5373417519515</v>
      </c>
      <c r="E43" s="275">
        <f>'Data 2006-08'!E205*'Data 2006-08'!E59*'Data 2006-08'!$B$156/10^3</f>
        <v>1381.2579427349694</v>
      </c>
      <c r="F43" s="275">
        <f>'Data 2006-08'!F205*'Data 2006-08'!F59*'Data 2006-08'!$B$156/10^3</f>
        <v>1404.3837707168586</v>
      </c>
      <c r="G43" s="275"/>
      <c r="H43" s="275"/>
    </row>
    <row r="44" spans="1:11" x14ac:dyDescent="0.25">
      <c r="A44" s="84" t="s">
        <v>24</v>
      </c>
      <c r="D44" s="275">
        <f>((('Data 2006-08'!D208*12+'Data 2006-08'!D210)*'Data 2006-08'!D63+('Data 2006-08'!D208*4+'Data 2006-08'!D210)*'Data 2006-08'!D64)+(('Data 2006-08'!D209*12+'Data 2006-08'!D211)*'Data 2006-08'!D65+('Data 2006-08'!D209*4+'Data 2006-08'!D211)*'Data 2006-08'!D66))*'Data 2006-08'!$B$156/10^3</f>
        <v>9000.9730359012447</v>
      </c>
      <c r="E44" s="275">
        <f>((('Data 2006-08'!E208*12+'Data 2006-08'!E210)*'Data 2006-08'!E63+('Data 2006-08'!E208*4+'Data 2006-08'!E210)*'Data 2006-08'!E64)+(('Data 2006-08'!E209*12+'Data 2006-08'!E211)*'Data 2006-08'!E65+('Data 2006-08'!E209*4+'Data 2006-08'!E211)*'Data 2006-08'!E66))*'Data 2006-08'!$B$156/10^3</f>
        <v>9124.0625310463529</v>
      </c>
      <c r="F44" s="275">
        <f>((('Data 2006-08'!F208*12+'Data 2006-08'!F210)*'Data 2006-08'!F63+('Data 2006-08'!F208*4+'Data 2006-08'!F210)*'Data 2006-08'!F64)+(('Data 2006-08'!F209*12+'Data 2006-08'!F211)*'Data 2006-08'!F65+('Data 2006-08'!F209*4+'Data 2006-08'!F211)*'Data 2006-08'!F66))*'Data 2006-08'!$B$156/10^3</f>
        <v>9307.6149385631816</v>
      </c>
    </row>
    <row r="45" spans="1:11" x14ac:dyDescent="0.25">
      <c r="A45" s="84" t="s">
        <v>262</v>
      </c>
      <c r="D45" s="275">
        <f>'Data 2006-08'!D213*'Data 2006-08'!D69*'Data 2006-08'!$B$156/10^3</f>
        <v>191.0412337790288</v>
      </c>
      <c r="E45" s="275">
        <f>'Data 2006-08'!E213*'Data 2006-08'!E69*'Data 2006-08'!$B$156/10^3</f>
        <v>146.13041087261078</v>
      </c>
      <c r="F45" s="275">
        <f>'Data 2006-08'!F213*'Data 2006-08'!F69*'Data 2006-08'!$B$156/10^3</f>
        <v>205.69166480831188</v>
      </c>
    </row>
    <row r="46" spans="1:11" x14ac:dyDescent="0.25">
      <c r="D46" s="389">
        <f>SUM(D43:D45)</f>
        <v>10559.551611432225</v>
      </c>
      <c r="E46" s="389">
        <f>SUM(E43:E45)</f>
        <v>10651.450884653934</v>
      </c>
      <c r="F46" s="389">
        <f>SUM(F43:F45)</f>
        <v>10917.690374088352</v>
      </c>
    </row>
    <row r="48" spans="1:11" x14ac:dyDescent="0.25">
      <c r="A48" s="344" t="s">
        <v>311</v>
      </c>
    </row>
    <row r="49" spans="1:11" x14ac:dyDescent="0.25">
      <c r="A49" s="280" t="s">
        <v>310</v>
      </c>
      <c r="D49" s="347">
        <f>'Data 2006-08'!D40*'Data 2006-08'!D156/10^3</f>
        <v>208.32472662510011</v>
      </c>
      <c r="E49" s="347">
        <f>'Data 2006-08'!E40*'Data 2006-08'!E156/10^3</f>
        <v>527.28554690044962</v>
      </c>
      <c r="F49" s="347">
        <f>'Data 2006-08'!F40*'Data 2006-08'!F156/10^3</f>
        <v>490.54503440000002</v>
      </c>
    </row>
    <row r="50" spans="1:11" x14ac:dyDescent="0.25">
      <c r="A50" s="84" t="s">
        <v>24</v>
      </c>
      <c r="D50" s="347">
        <f>'Data 2006-08'!D45*'Data 2006-08'!D156/10^3</f>
        <v>8866.053440244068</v>
      </c>
      <c r="E50" s="347">
        <f>'Data 2006-08'!E45*'Data 2006-08'!E156/10^3</f>
        <v>7541.651379073468</v>
      </c>
      <c r="F50" s="347">
        <f>'Data 2006-08'!F45*'Data 2006-08'!F156/10^3</f>
        <v>9000.5523345711281</v>
      </c>
    </row>
    <row r="51" spans="1:11" x14ac:dyDescent="0.25">
      <c r="A51" s="84" t="s">
        <v>262</v>
      </c>
      <c r="D51" s="347">
        <f>'Data 2006-08'!D46*'Data 2006-08'!D156/10^3</f>
        <v>191.0412337790288</v>
      </c>
      <c r="E51" s="347">
        <f>'Data 2006-08'!E46*'Data 2006-08'!E156/10^3</f>
        <v>146.13041087261078</v>
      </c>
      <c r="F51" s="347">
        <f>'Data 2006-08'!F46*'Data 2006-08'!F156/10^3</f>
        <v>205.69166480831188</v>
      </c>
    </row>
    <row r="52" spans="1:11" x14ac:dyDescent="0.25">
      <c r="D52" s="389">
        <f>SUM(D49:D51)</f>
        <v>9265.4194006481976</v>
      </c>
      <c r="E52" s="389">
        <f>SUM(E49:E51)</f>
        <v>8215.0673368465286</v>
      </c>
      <c r="F52" s="389">
        <f>SUM(F49:F51)</f>
        <v>9696.7890337794397</v>
      </c>
    </row>
    <row r="54" spans="1:11" x14ac:dyDescent="0.25">
      <c r="A54" s="57" t="s">
        <v>358</v>
      </c>
      <c r="D54" s="347">
        <f>D46-D52</f>
        <v>1294.1322107840278</v>
      </c>
      <c r="E54" s="347">
        <f>E46-E52</f>
        <v>2436.3835478074052</v>
      </c>
      <c r="F54" s="347">
        <f>F46-F52</f>
        <v>1220.901340308912</v>
      </c>
    </row>
    <row r="55" spans="1:11" x14ac:dyDescent="0.25">
      <c r="A55" s="57" t="s">
        <v>312</v>
      </c>
      <c r="D55" s="347">
        <f>D54</f>
        <v>1294.1322107840278</v>
      </c>
      <c r="E55" s="347">
        <f>E54-D54</f>
        <v>1142.2513370233773</v>
      </c>
      <c r="F55" s="347">
        <f>F54-E54</f>
        <v>-1215.4822074984932</v>
      </c>
    </row>
    <row r="57" spans="1:11" x14ac:dyDescent="0.25">
      <c r="A57" s="344" t="s">
        <v>313</v>
      </c>
    </row>
    <row r="58" spans="1:11" x14ac:dyDescent="0.25">
      <c r="A58" s="283">
        <v>2006</v>
      </c>
      <c r="D58" s="347">
        <f t="shared" ref="D58:I58" si="3">$D55</f>
        <v>1294.1322107840278</v>
      </c>
      <c r="E58" s="347">
        <f t="shared" si="3"/>
        <v>1294.1322107840278</v>
      </c>
      <c r="F58" s="347">
        <f t="shared" si="3"/>
        <v>1294.1322107840278</v>
      </c>
      <c r="G58" s="347">
        <f t="shared" si="3"/>
        <v>1294.1322107840278</v>
      </c>
      <c r="H58" s="347">
        <f t="shared" si="3"/>
        <v>1294.1322107840278</v>
      </c>
      <c r="I58" s="347">
        <f t="shared" si="3"/>
        <v>1294.1322107840278</v>
      </c>
    </row>
    <row r="59" spans="1:11" x14ac:dyDescent="0.25">
      <c r="A59" s="283">
        <v>2007</v>
      </c>
      <c r="E59" s="347">
        <f t="shared" ref="E59:J59" si="4">$E55</f>
        <v>1142.2513370233773</v>
      </c>
      <c r="F59" s="347">
        <f t="shared" si="4"/>
        <v>1142.2513370233773</v>
      </c>
      <c r="G59" s="347">
        <f t="shared" si="4"/>
        <v>1142.2513370233773</v>
      </c>
      <c r="H59" s="347">
        <f t="shared" si="4"/>
        <v>1142.2513370233773</v>
      </c>
      <c r="I59" s="347">
        <f t="shared" si="4"/>
        <v>1142.2513370233773</v>
      </c>
      <c r="J59" s="347">
        <f t="shared" si="4"/>
        <v>1142.2513370233773</v>
      </c>
    </row>
    <row r="60" spans="1:11" x14ac:dyDescent="0.25">
      <c r="A60" s="283">
        <v>2008</v>
      </c>
      <c r="F60" s="347">
        <f t="shared" ref="F60:K60" si="5">$F55</f>
        <v>-1215.4822074984932</v>
      </c>
      <c r="G60" s="347">
        <f t="shared" si="5"/>
        <v>-1215.4822074984932</v>
      </c>
      <c r="H60" s="347">
        <f t="shared" si="5"/>
        <v>-1215.4822074984932</v>
      </c>
      <c r="I60" s="347">
        <f t="shared" si="5"/>
        <v>-1215.4822074984932</v>
      </c>
      <c r="J60" s="347">
        <f t="shared" si="5"/>
        <v>-1215.4822074984932</v>
      </c>
      <c r="K60" s="347">
        <f t="shared" si="5"/>
        <v>-1215.4822074984932</v>
      </c>
    </row>
    <row r="61" spans="1:11" ht="13.8" thickBot="1" x14ac:dyDescent="0.3">
      <c r="D61" s="432">
        <f>SUM(D58:D60)</f>
        <v>1294.1322107840278</v>
      </c>
      <c r="E61" s="432">
        <f t="shared" ref="E61:K61" si="6">SUM(E58:E60)</f>
        <v>2436.3835478074052</v>
      </c>
      <c r="F61" s="432">
        <f t="shared" si="6"/>
        <v>1220.901340308912</v>
      </c>
      <c r="G61" s="432">
        <f t="shared" si="6"/>
        <v>1220.901340308912</v>
      </c>
      <c r="H61" s="432">
        <f t="shared" si="6"/>
        <v>1220.901340308912</v>
      </c>
      <c r="I61" s="432">
        <f t="shared" si="6"/>
        <v>1220.901340308912</v>
      </c>
      <c r="J61" s="432">
        <f t="shared" si="6"/>
        <v>-73.230870475115807</v>
      </c>
      <c r="K61" s="432">
        <f t="shared" si="6"/>
        <v>-1215.4822074984932</v>
      </c>
    </row>
    <row r="62" spans="1:11" ht="13.8" thickTop="1" x14ac:dyDescent="0.25"/>
    <row r="64" spans="1:11" x14ac:dyDescent="0.25">
      <c r="A64" s="448" t="s">
        <v>304</v>
      </c>
      <c r="D64" s="77">
        <v>2006</v>
      </c>
      <c r="E64" s="77">
        <v>2007</v>
      </c>
      <c r="F64" s="77">
        <v>2008</v>
      </c>
      <c r="G64" s="77">
        <v>2009</v>
      </c>
      <c r="H64" s="77">
        <v>2010</v>
      </c>
      <c r="I64" s="77">
        <v>2011</v>
      </c>
      <c r="J64" s="77">
        <v>2012</v>
      </c>
      <c r="K64" s="77">
        <v>2013</v>
      </c>
    </row>
    <row r="65" spans="1:18" x14ac:dyDescent="0.25">
      <c r="A65" s="409" t="s">
        <v>297</v>
      </c>
      <c r="D65" s="347">
        <f>D61/'Data 2006-08'!D156</f>
        <v>1222.326640450488</v>
      </c>
      <c r="E65" s="347">
        <f>E61/'Data 2006-08'!E156</f>
        <v>2391.8342899975596</v>
      </c>
      <c r="F65" s="347">
        <f>F61/'Data 2006-08'!F156</f>
        <v>1220.901340308912</v>
      </c>
      <c r="G65" s="347">
        <f>G61*'Data 2009-15 (Real $2008)'!D145</f>
        <v>1281.7154676004657</v>
      </c>
      <c r="H65" s="347">
        <f>H61*'Data 2009-15 (Real $2008)'!E145</f>
        <v>1297.8812482729038</v>
      </c>
      <c r="I65" s="347">
        <f>I61*'Data 2009-15 (Real $2008)'!F145</f>
        <v>1334.0618050159803</v>
      </c>
      <c r="J65" s="347">
        <f>J61*'Data 2009-15 (Real $2008)'!F145*(1+J4)</f>
        <v>-82.83491906201624</v>
      </c>
      <c r="K65" s="347">
        <f>K61*'Data 2009-15 (Real $2008)'!F145*(1+J4)*(1+K4)</f>
        <v>-1402.4426101236761</v>
      </c>
    </row>
    <row r="66" spans="1:18" x14ac:dyDescent="0.25">
      <c r="D66" s="347"/>
      <c r="E66" s="347"/>
      <c r="F66" s="347"/>
      <c r="G66" s="347"/>
      <c r="H66" s="347"/>
      <c r="I66" s="347"/>
      <c r="J66" s="347"/>
      <c r="K66" s="347"/>
    </row>
    <row r="67" spans="1:18" ht="13.8" thickBot="1" x14ac:dyDescent="0.3">
      <c r="A67" s="535"/>
      <c r="B67" s="535"/>
      <c r="C67" s="535"/>
      <c r="D67" s="535"/>
      <c r="E67" s="535"/>
      <c r="F67" s="535"/>
      <c r="G67" s="535"/>
      <c r="H67" s="535"/>
      <c r="I67" s="535"/>
      <c r="J67" s="535"/>
      <c r="K67" s="535"/>
    </row>
    <row r="69" spans="1:18" x14ac:dyDescent="0.25">
      <c r="A69" s="59" t="s">
        <v>299</v>
      </c>
      <c r="B69" s="346"/>
      <c r="C69" s="346"/>
      <c r="D69" s="348">
        <v>2006</v>
      </c>
      <c r="E69" s="348">
        <v>2007</v>
      </c>
      <c r="F69" s="348">
        <v>2008</v>
      </c>
      <c r="G69" s="347"/>
      <c r="H69" s="347"/>
      <c r="I69" s="347"/>
      <c r="J69" s="347"/>
    </row>
    <row r="70" spans="1:18" x14ac:dyDescent="0.25">
      <c r="A70" s="409" t="s">
        <v>297</v>
      </c>
      <c r="B70" s="346"/>
      <c r="C70" s="346"/>
      <c r="D70" s="347"/>
      <c r="E70" s="347"/>
      <c r="F70" s="347"/>
      <c r="G70" s="347"/>
      <c r="H70" s="347"/>
      <c r="I70" s="347"/>
      <c r="J70" s="347"/>
    </row>
    <row r="71" spans="1:18" x14ac:dyDescent="0.25">
      <c r="A71" s="279" t="s">
        <v>293</v>
      </c>
      <c r="B71" s="356"/>
      <c r="C71" s="356"/>
      <c r="D71" s="275">
        <f>-'Data 2006-08'!D75/10^3</f>
        <v>-18927.872469999998</v>
      </c>
      <c r="E71" s="275">
        <f>-'Data 2006-08'!E75/10^3</f>
        <v>-24234.061212000001</v>
      </c>
      <c r="F71" s="275">
        <f>-'Data 2006-08'!F75/10^3</f>
        <v>-29871.505958270402</v>
      </c>
      <c r="G71" s="347"/>
      <c r="H71" s="347"/>
      <c r="I71" s="347"/>
      <c r="J71" s="347"/>
    </row>
    <row r="72" spans="1:18" s="356" customFormat="1" x14ac:dyDescent="0.25">
      <c r="A72" s="424" t="s">
        <v>295</v>
      </c>
      <c r="D72" s="275">
        <f>D84/'Data 2006-08'!D156</f>
        <v>12530.902078273881</v>
      </c>
      <c r="E72" s="275">
        <f>E84/'Data 2006-08'!E156</f>
        <v>14181.308592141277</v>
      </c>
      <c r="F72" s="275">
        <f>F84/'Data 2006-08'!F156</f>
        <v>17308.483669411889</v>
      </c>
    </row>
    <row r="73" spans="1:18" s="356" customFormat="1" ht="13.8" thickBot="1" x14ac:dyDescent="0.3">
      <c r="A73" s="356" t="s">
        <v>298</v>
      </c>
      <c r="D73" s="419">
        <f>SUM(D71:D72)</f>
        <v>-6396.9703917261177</v>
      </c>
      <c r="E73" s="419">
        <f>SUM(E71:E72)</f>
        <v>-10052.752619858724</v>
      </c>
      <c r="F73" s="419">
        <f>SUM(F71:F72)</f>
        <v>-12563.022288858512</v>
      </c>
    </row>
    <row r="74" spans="1:18" s="356" customFormat="1" ht="13.8" thickTop="1" x14ac:dyDescent="0.25">
      <c r="D74" s="349"/>
      <c r="E74" s="349"/>
      <c r="F74" s="349"/>
    </row>
    <row r="75" spans="1:18" s="279" customFormat="1" x14ac:dyDescent="0.25">
      <c r="A75" s="353"/>
      <c r="B75" s="353"/>
      <c r="C75" s="353"/>
      <c r="D75" s="352"/>
      <c r="E75" s="352"/>
      <c r="F75" s="352"/>
      <c r="G75" s="351"/>
      <c r="H75" s="351"/>
      <c r="I75" s="280"/>
    </row>
    <row r="76" spans="1:18" s="279" customFormat="1" x14ac:dyDescent="0.25">
      <c r="A76" s="57"/>
      <c r="B76" s="57"/>
      <c r="C76" s="57"/>
      <c r="D76" s="351"/>
      <c r="E76" s="351"/>
      <c r="F76" s="351"/>
      <c r="G76" s="351"/>
      <c r="H76" s="351"/>
      <c r="I76" s="280"/>
    </row>
    <row r="77" spans="1:18" s="279" customFormat="1" x14ac:dyDescent="0.25">
      <c r="A77" s="57"/>
      <c r="B77" s="57"/>
      <c r="C77" s="57"/>
      <c r="D77" s="351"/>
      <c r="E77" s="351"/>
      <c r="F77" s="351"/>
      <c r="G77" s="351"/>
      <c r="H77" s="351"/>
    </row>
    <row r="78" spans="1:18" x14ac:dyDescent="0.25">
      <c r="A78" s="355" t="s">
        <v>295</v>
      </c>
      <c r="B78" s="279"/>
      <c r="C78" s="279"/>
    </row>
    <row r="79" spans="1:18" x14ac:dyDescent="0.25">
      <c r="A79" s="409" t="s">
        <v>289</v>
      </c>
      <c r="B79" s="356"/>
      <c r="C79" s="356"/>
      <c r="D79" s="391">
        <v>2006</v>
      </c>
      <c r="E79" s="391">
        <v>2007</v>
      </c>
      <c r="F79" s="391">
        <v>2008</v>
      </c>
      <c r="G79" s="364"/>
      <c r="H79" s="364"/>
      <c r="I79" s="358"/>
      <c r="J79" s="358"/>
      <c r="L79" s="359"/>
      <c r="M79" s="359"/>
      <c r="N79" s="359"/>
      <c r="O79" s="359"/>
      <c r="P79" s="359"/>
      <c r="Q79" s="279"/>
      <c r="R79" s="279"/>
    </row>
    <row r="80" spans="1:18" x14ac:dyDescent="0.25">
      <c r="A80" s="360" t="s">
        <v>136</v>
      </c>
      <c r="B80" s="356"/>
      <c r="C80" s="356"/>
      <c r="D80" s="275">
        <f>D185*'Data 2006-08'!$C$141</f>
        <v>223.7352470483215</v>
      </c>
      <c r="E80" s="275">
        <f>E185*'Data 2006-08'!$C$141</f>
        <v>627.82235864528229</v>
      </c>
      <c r="F80" s="275">
        <f>F185*'Data 2006-08'!$C$141</f>
        <v>1024.7352924917773</v>
      </c>
      <c r="G80" s="364"/>
      <c r="H80" s="364"/>
      <c r="I80" s="361"/>
      <c r="J80" s="361"/>
      <c r="L80" s="362"/>
      <c r="M80" s="362"/>
      <c r="N80" s="362"/>
      <c r="O80" s="362"/>
      <c r="P80" s="362"/>
      <c r="Q80" s="363"/>
      <c r="R80" s="363"/>
    </row>
    <row r="81" spans="1:18" x14ac:dyDescent="0.25">
      <c r="A81" s="360" t="s">
        <v>137</v>
      </c>
      <c r="B81" s="356"/>
      <c r="C81" s="356"/>
      <c r="D81" s="275">
        <f>D182</f>
        <v>383.18626658401672</v>
      </c>
      <c r="E81" s="275">
        <f>E182</f>
        <v>995.13320422596303</v>
      </c>
      <c r="F81" s="275">
        <f>F182</f>
        <v>1505.5315747393101</v>
      </c>
      <c r="G81" s="364"/>
      <c r="H81" s="364"/>
      <c r="I81" s="364"/>
      <c r="J81" s="364"/>
      <c r="L81" s="362"/>
      <c r="M81" s="362"/>
      <c r="N81" s="362"/>
      <c r="O81" s="362"/>
      <c r="P81" s="362"/>
      <c r="Q81" s="363"/>
      <c r="R81" s="363"/>
    </row>
    <row r="82" spans="1:18" x14ac:dyDescent="0.25">
      <c r="A82" s="360" t="s">
        <v>138</v>
      </c>
      <c r="B82" s="356"/>
      <c r="C82" s="356"/>
      <c r="D82" s="275">
        <f>'Data 2006-08'!D50*'Data 2006-08'!D$156/10^3</f>
        <v>11435.460800813244</v>
      </c>
      <c r="E82" s="275">
        <f>'Data 2006-08'!E50*'Data 2006-08'!E$156/10^3</f>
        <v>11176.50804956506</v>
      </c>
      <c r="F82" s="275">
        <f>'Data 2006-08'!F50*'Data 2006-08'!F$156/10^3</f>
        <v>12791.149054054895</v>
      </c>
      <c r="G82" s="364"/>
      <c r="H82" s="364"/>
      <c r="I82" s="364"/>
      <c r="J82" s="364"/>
      <c r="L82" s="362"/>
      <c r="M82" s="362"/>
      <c r="N82" s="362"/>
      <c r="O82" s="362"/>
      <c r="P82" s="362"/>
      <c r="Q82" s="363"/>
      <c r="R82" s="363"/>
    </row>
    <row r="83" spans="1:18" x14ac:dyDescent="0.25">
      <c r="A83" s="365" t="s">
        <v>294</v>
      </c>
      <c r="B83" s="280"/>
      <c r="C83" s="356"/>
      <c r="D83" s="275">
        <f>D114</f>
        <v>1224.6475227656142</v>
      </c>
      <c r="E83" s="275">
        <f>E114</f>
        <v>1645.9798218193566</v>
      </c>
      <c r="F83" s="275">
        <f>F114</f>
        <v>1987.0677481259083</v>
      </c>
      <c r="G83" s="364"/>
      <c r="H83" s="364"/>
      <c r="I83" s="364"/>
      <c r="J83" s="364"/>
      <c r="L83" s="362"/>
      <c r="M83" s="362"/>
      <c r="N83" s="362"/>
      <c r="O83" s="362"/>
      <c r="P83" s="362"/>
      <c r="Q83" s="363"/>
      <c r="R83" s="363"/>
    </row>
    <row r="84" spans="1:18" ht="13.8" thickBot="1" x14ac:dyDescent="0.3">
      <c r="A84" s="357"/>
      <c r="B84" s="366"/>
      <c r="C84" s="356"/>
      <c r="D84" s="420">
        <f>SUM(D80:D83)</f>
        <v>13267.029837211196</v>
      </c>
      <c r="E84" s="420">
        <f>SUM(E80:E83)</f>
        <v>14445.443434255663</v>
      </c>
      <c r="F84" s="420">
        <f>SUM(F80:F83)</f>
        <v>17308.483669411889</v>
      </c>
      <c r="G84" s="364"/>
      <c r="H84" s="364"/>
      <c r="I84" s="367"/>
      <c r="J84" s="367"/>
      <c r="L84" s="362"/>
      <c r="M84" s="362"/>
      <c r="N84" s="362"/>
      <c r="O84" s="362"/>
      <c r="P84" s="362"/>
      <c r="Q84" s="363"/>
      <c r="R84" s="363"/>
    </row>
    <row r="85" spans="1:18" s="280" customFormat="1" ht="13.8" thickTop="1" x14ac:dyDescent="0.25">
      <c r="A85" s="368"/>
      <c r="B85" s="369"/>
      <c r="D85" s="370"/>
      <c r="E85" s="370"/>
      <c r="F85" s="370"/>
      <c r="G85" s="370"/>
      <c r="H85" s="370"/>
      <c r="I85" s="370"/>
      <c r="J85" s="370"/>
    </row>
    <row r="86" spans="1:18" s="280" customFormat="1" x14ac:dyDescent="0.25">
      <c r="A86" s="354"/>
      <c r="B86" s="354"/>
      <c r="C86" s="354"/>
      <c r="D86" s="371"/>
      <c r="E86" s="371"/>
      <c r="F86" s="371"/>
      <c r="I86" s="364"/>
      <c r="J86" s="364"/>
    </row>
    <row r="87" spans="1:18" s="279" customFormat="1" x14ac:dyDescent="0.25">
      <c r="C87" s="356"/>
      <c r="G87" s="280"/>
      <c r="H87" s="280"/>
    </row>
    <row r="88" spans="1:18" s="279" customFormat="1" x14ac:dyDescent="0.25">
      <c r="A88" s="278" t="s">
        <v>140</v>
      </c>
      <c r="C88" s="356"/>
      <c r="G88" s="280"/>
      <c r="H88" s="280"/>
    </row>
    <row r="89" spans="1:18" s="279" customFormat="1" x14ac:dyDescent="0.25">
      <c r="C89" s="356"/>
      <c r="D89" s="372">
        <v>2006</v>
      </c>
      <c r="E89" s="372">
        <v>2007</v>
      </c>
      <c r="F89" s="372">
        <v>2008</v>
      </c>
      <c r="I89" s="373"/>
      <c r="J89" s="373"/>
    </row>
    <row r="90" spans="1:18" s="279" customFormat="1" x14ac:dyDescent="0.25">
      <c r="A90" s="279" t="s">
        <v>84</v>
      </c>
      <c r="C90" s="356"/>
      <c r="D90" s="425">
        <f>('Data 2006-08'!$C$138+1)*('Data 2006-08'!D155+1)-1</f>
        <v>7.2141471801925761E-2</v>
      </c>
      <c r="E90" s="425">
        <f>('Data 2006-08'!$C$138+1)*('Data 2006-08'!E155+1)-1</f>
        <v>8.1636882510013331E-2</v>
      </c>
      <c r="F90" s="425">
        <f>('Data 2006-08'!$C$138+1)*('Data 2006-08'!F155+1)-1</f>
        <v>6.0032691072575695E-2</v>
      </c>
      <c r="I90" s="373"/>
      <c r="J90" s="373"/>
    </row>
    <row r="91" spans="1:18" s="279" customFormat="1" x14ac:dyDescent="0.25">
      <c r="A91" s="280" t="str">
        <f>"Average RAB "&amp;A79&amp;""</f>
        <v>Average RAB ($000 Real 2008)</v>
      </c>
      <c r="D91" s="275">
        <f>D185</f>
        <v>3792.1228313274833</v>
      </c>
      <c r="E91" s="275">
        <f>E185</f>
        <v>10641.056926191226</v>
      </c>
      <c r="F91" s="275">
        <f>F185</f>
        <v>17368.394787996225</v>
      </c>
      <c r="I91" s="375"/>
      <c r="J91" s="375"/>
    </row>
    <row r="92" spans="1:18" s="279" customFormat="1" x14ac:dyDescent="0.25">
      <c r="A92" s="280" t="str">
        <f>"Debt ("&amp;D96*100&amp;"% of RAB)"</f>
        <v>Debt (60% of RAB)</v>
      </c>
      <c r="D92" s="275">
        <f>$D$96*D91</f>
        <v>2275.27369879649</v>
      </c>
      <c r="E92" s="275">
        <f>$D$96*E91</f>
        <v>6384.6341557147352</v>
      </c>
      <c r="F92" s="275">
        <f>$D$96*F91</f>
        <v>10421.036872797735</v>
      </c>
      <c r="I92" s="375"/>
      <c r="J92" s="375"/>
    </row>
    <row r="93" spans="1:18" s="279" customFormat="1" x14ac:dyDescent="0.25">
      <c r="A93" s="279" t="s">
        <v>147</v>
      </c>
      <c r="D93" s="377">
        <f>1/'Data 2006-08'!D156</f>
        <v>0.94451450189155128</v>
      </c>
      <c r="E93" s="377">
        <f>1/'Data 2006-08'!E156</f>
        <v>0.98171500630517017</v>
      </c>
      <c r="F93" s="377">
        <f>1/'Data 2006-08'!F156</f>
        <v>1</v>
      </c>
      <c r="I93" s="378"/>
      <c r="J93" s="378"/>
    </row>
    <row r="94" spans="1:18" s="279" customFormat="1" x14ac:dyDescent="0.25">
      <c r="D94" s="319"/>
      <c r="I94" s="280"/>
      <c r="J94" s="280"/>
    </row>
    <row r="95" spans="1:18" s="279" customFormat="1" x14ac:dyDescent="0.25">
      <c r="A95" s="280" t="s">
        <v>142</v>
      </c>
      <c r="D95" s="416">
        <f>'Data 2006-08'!C169</f>
        <v>0.3</v>
      </c>
      <c r="I95" s="280"/>
      <c r="J95" s="280"/>
    </row>
    <row r="96" spans="1:18" s="279" customFormat="1" x14ac:dyDescent="0.25">
      <c r="A96" s="280" t="s">
        <v>141</v>
      </c>
      <c r="D96" s="417">
        <f>'Data 2006-08'!C171</f>
        <v>0.6</v>
      </c>
      <c r="I96" s="280"/>
      <c r="J96" s="280"/>
    </row>
    <row r="97" spans="1:10" s="279" customFormat="1" x14ac:dyDescent="0.25">
      <c r="A97" s="279" t="s">
        <v>17</v>
      </c>
      <c r="D97" s="415">
        <f>'Data 2006-08'!C170</f>
        <v>0.5</v>
      </c>
      <c r="I97" s="280"/>
      <c r="J97" s="280"/>
    </row>
    <row r="98" spans="1:10" s="279" customFormat="1" x14ac:dyDescent="0.25">
      <c r="I98" s="280"/>
      <c r="J98" s="280"/>
    </row>
    <row r="99" spans="1:10" s="279" customFormat="1" x14ac:dyDescent="0.25">
      <c r="A99" s="278" t="s">
        <v>351</v>
      </c>
      <c r="D99" s="372">
        <v>2006</v>
      </c>
      <c r="E99" s="372">
        <v>2007</v>
      </c>
      <c r="F99" s="372">
        <v>2008</v>
      </c>
      <c r="G99" s="280"/>
      <c r="H99" s="280"/>
      <c r="I99" s="280"/>
      <c r="J99" s="373"/>
    </row>
    <row r="100" spans="1:10" s="279" customFormat="1" x14ac:dyDescent="0.25">
      <c r="A100" s="279" t="s">
        <v>293</v>
      </c>
      <c r="D100" s="275">
        <f>'Data 2006-08'!D75/10^3</f>
        <v>18927.872469999998</v>
      </c>
      <c r="E100" s="275">
        <f>'Data 2006-08'!E75/10^3</f>
        <v>24234.061212000001</v>
      </c>
      <c r="F100" s="275">
        <f>'Data 2006-08'!F75/10^3</f>
        <v>29871.505958270402</v>
      </c>
      <c r="G100" s="280"/>
      <c r="H100" s="275"/>
      <c r="I100" s="275"/>
      <c r="J100" s="275"/>
    </row>
    <row r="101" spans="1:10" s="279" customFormat="1" x14ac:dyDescent="0.25">
      <c r="A101" s="279" t="s">
        <v>4</v>
      </c>
      <c r="D101" s="275">
        <f>'Data 2006-08'!D28/10^3</f>
        <v>0</v>
      </c>
      <c r="E101" s="275">
        <f>'Data 2006-08'!E28/10^3</f>
        <v>0</v>
      </c>
      <c r="F101" s="275">
        <f>'Data 2006-08'!F28/10^3</f>
        <v>0</v>
      </c>
      <c r="G101" s="280"/>
      <c r="H101" s="275"/>
      <c r="I101" s="275"/>
      <c r="J101" s="275"/>
    </row>
    <row r="102" spans="1:10" s="279" customFormat="1" x14ac:dyDescent="0.25">
      <c r="A102" s="279" t="s">
        <v>126</v>
      </c>
      <c r="D102" s="275">
        <f>'Data 2006-08'!D50/10^3</f>
        <v>10800.95856218048</v>
      </c>
      <c r="E102" s="275">
        <f>'Data 2006-08'!E50/10^3</f>
        <v>10972.145670348547</v>
      </c>
      <c r="F102" s="275">
        <f>'Data 2006-08'!F50/10^3</f>
        <v>12791.149054054895</v>
      </c>
      <c r="G102" s="280"/>
      <c r="H102" s="275"/>
      <c r="I102" s="275"/>
      <c r="J102" s="275"/>
    </row>
    <row r="103" spans="1:10" s="279" customFormat="1" x14ac:dyDescent="0.25">
      <c r="A103" s="279" t="s">
        <v>127</v>
      </c>
      <c r="D103" s="275">
        <f>D278</f>
        <v>1417.2615044117647</v>
      </c>
      <c r="E103" s="275">
        <f>E278</f>
        <v>3593.5535975199987</v>
      </c>
      <c r="F103" s="275">
        <f>F278</f>
        <v>5194.7034442614386</v>
      </c>
      <c r="G103" s="280"/>
      <c r="H103" s="275"/>
      <c r="I103" s="275"/>
      <c r="J103" s="275"/>
    </row>
    <row r="104" spans="1:10" s="279" customFormat="1" x14ac:dyDescent="0.25">
      <c r="A104" s="279" t="s">
        <v>128</v>
      </c>
      <c r="D104" s="275">
        <f>D92*D93*D90</f>
        <v>155.03411531419843</v>
      </c>
      <c r="E104" s="275">
        <f>E92*E93*E90</f>
        <v>511.69109424987681</v>
      </c>
      <c r="F104" s="275">
        <f>F92*F93*F90</f>
        <v>625.60288724058671</v>
      </c>
      <c r="G104" s="280"/>
      <c r="H104" s="275"/>
      <c r="I104" s="275"/>
      <c r="J104" s="275"/>
    </row>
    <row r="105" spans="1:10" s="279" customFormat="1" x14ac:dyDescent="0.25">
      <c r="A105" s="279" t="s">
        <v>129</v>
      </c>
      <c r="D105" s="275">
        <v>0</v>
      </c>
      <c r="E105" s="275">
        <f>IF(D106&lt;0,-D106,0)</f>
        <v>0</v>
      </c>
      <c r="F105" s="275">
        <f>IF(E106&lt;0,-E106,0)</f>
        <v>0</v>
      </c>
      <c r="G105" s="280"/>
      <c r="H105" s="275"/>
      <c r="I105" s="275"/>
      <c r="J105" s="275"/>
    </row>
    <row r="106" spans="1:10" s="279" customFormat="1" x14ac:dyDescent="0.25">
      <c r="A106" s="279" t="s">
        <v>151</v>
      </c>
      <c r="D106" s="275">
        <f>SUM(D100:D101)-SUM(D102:D105)</f>
        <v>6554.6182880935557</v>
      </c>
      <c r="E106" s="275">
        <f>SUM(E100:E101)-SUM(E102:E105)</f>
        <v>9156.6708498815788</v>
      </c>
      <c r="F106" s="275">
        <f>SUM(F100:F101)-SUM(F102:F105)</f>
        <v>11260.050572713481</v>
      </c>
      <c r="G106" s="280"/>
      <c r="H106" s="275"/>
      <c r="I106" s="275"/>
      <c r="J106" s="275"/>
    </row>
    <row r="107" spans="1:10" s="279" customFormat="1" x14ac:dyDescent="0.25">
      <c r="A107" s="279" t="s">
        <v>152</v>
      </c>
      <c r="D107" s="275">
        <f>IF(D106&lt;0,0,D106*$D$95/(1-$D$95*(1-$D$97)))</f>
        <v>2313.3946899153725</v>
      </c>
      <c r="E107" s="275">
        <f>IF(E106&lt;0,0,E106*$D$95/(1-$D$95*(1-$D$97)))</f>
        <v>3231.7661823111453</v>
      </c>
      <c r="F107" s="275">
        <f>IF(F106&lt;0,0,F106*$D$95/(1-$D$95*(1-$D$97)))</f>
        <v>3974.1354962518167</v>
      </c>
      <c r="G107" s="280"/>
      <c r="H107" s="275"/>
      <c r="I107" s="275"/>
      <c r="J107" s="275"/>
    </row>
    <row r="108" spans="1:10" s="279" customFormat="1" x14ac:dyDescent="0.25">
      <c r="A108" s="279" t="s">
        <v>132</v>
      </c>
      <c r="D108" s="275">
        <f>D107*$D$97</f>
        <v>1156.6973449576863</v>
      </c>
      <c r="E108" s="275">
        <f>E107*$D$97</f>
        <v>1615.8830911555726</v>
      </c>
      <c r="F108" s="275">
        <f>F107*$D$97</f>
        <v>1987.0677481259083</v>
      </c>
      <c r="G108" s="280"/>
      <c r="H108" s="275"/>
      <c r="I108" s="275"/>
      <c r="J108" s="275"/>
    </row>
    <row r="109" spans="1:10" s="279" customFormat="1" x14ac:dyDescent="0.25">
      <c r="A109" s="279" t="s">
        <v>352</v>
      </c>
      <c r="D109" s="418">
        <f>D107-D108</f>
        <v>1156.6973449576863</v>
      </c>
      <c r="E109" s="418">
        <f>E107-E108</f>
        <v>1615.8830911555726</v>
      </c>
      <c r="F109" s="418">
        <f>F107-F108</f>
        <v>1987.0677481259083</v>
      </c>
      <c r="G109" s="280"/>
      <c r="H109" s="280"/>
      <c r="I109" s="280"/>
      <c r="J109" s="379"/>
    </row>
    <row r="110" spans="1:10" s="279" customFormat="1" x14ac:dyDescent="0.25">
      <c r="G110" s="280"/>
      <c r="H110" s="280"/>
      <c r="I110" s="280"/>
      <c r="J110" s="280"/>
    </row>
    <row r="111" spans="1:10" s="279" customFormat="1" x14ac:dyDescent="0.25">
      <c r="A111" s="346" t="str">
        <f>$A$79</f>
        <v>($000 Real 2008)</v>
      </c>
      <c r="D111" s="372">
        <v>2006</v>
      </c>
      <c r="E111" s="372">
        <v>2007</v>
      </c>
      <c r="F111" s="372">
        <v>2008</v>
      </c>
      <c r="G111" s="280"/>
      <c r="H111" s="280"/>
      <c r="I111" s="280"/>
      <c r="J111" s="373"/>
    </row>
    <row r="112" spans="1:10" s="279" customFormat="1" x14ac:dyDescent="0.25">
      <c r="A112" s="279" t="s">
        <v>152</v>
      </c>
      <c r="D112" s="275">
        <f t="shared" ref="D112:F113" si="7">D107/D$93</f>
        <v>2449.2950455312284</v>
      </c>
      <c r="E112" s="275">
        <f t="shared" si="7"/>
        <v>3291.9596436387133</v>
      </c>
      <c r="F112" s="275">
        <f t="shared" si="7"/>
        <v>3974.1354962518167</v>
      </c>
      <c r="G112" s="280"/>
      <c r="H112" s="280"/>
      <c r="I112" s="280"/>
      <c r="J112" s="376"/>
    </row>
    <row r="113" spans="1:10" s="279" customFormat="1" x14ac:dyDescent="0.25">
      <c r="A113" s="279" t="s">
        <v>132</v>
      </c>
      <c r="D113" s="275">
        <f t="shared" si="7"/>
        <v>1224.6475227656142</v>
      </c>
      <c r="E113" s="275">
        <f t="shared" si="7"/>
        <v>1645.9798218193566</v>
      </c>
      <c r="F113" s="275">
        <f t="shared" si="7"/>
        <v>1987.0677481259083</v>
      </c>
      <c r="G113" s="280"/>
      <c r="H113" s="280"/>
      <c r="I113" s="280"/>
      <c r="J113" s="376"/>
    </row>
    <row r="114" spans="1:10" s="279" customFormat="1" x14ac:dyDescent="0.25">
      <c r="A114" s="279" t="str">
        <f>"Tax liability  "&amp;A79&amp;""</f>
        <v>Tax liability  ($000 Real 2008)</v>
      </c>
      <c r="D114" s="418">
        <f>D112-D113</f>
        <v>1224.6475227656142</v>
      </c>
      <c r="E114" s="418">
        <f>E112-E113</f>
        <v>1645.9798218193566</v>
      </c>
      <c r="F114" s="418">
        <f>F112-F113</f>
        <v>1987.0677481259083</v>
      </c>
      <c r="G114" s="280"/>
      <c r="H114" s="280"/>
      <c r="I114" s="280"/>
      <c r="J114" s="379"/>
    </row>
    <row r="115" spans="1:10" s="279" customFormat="1" x14ac:dyDescent="0.25">
      <c r="D115" s="319"/>
      <c r="E115" s="319"/>
      <c r="F115" s="319"/>
      <c r="G115" s="280"/>
      <c r="H115" s="280"/>
      <c r="I115" s="280"/>
      <c r="J115" s="378"/>
    </row>
    <row r="116" spans="1:10" x14ac:dyDescent="0.25">
      <c r="A116" s="353"/>
      <c r="B116" s="353"/>
      <c r="C116" s="353"/>
      <c r="D116" s="353"/>
      <c r="E116" s="353"/>
      <c r="F116" s="353"/>
      <c r="G116" s="280"/>
      <c r="H116" s="280"/>
      <c r="I116" s="280"/>
      <c r="J116" s="280"/>
    </row>
    <row r="117" spans="1:10" x14ac:dyDescent="0.25">
      <c r="G117" s="356"/>
      <c r="H117" s="356"/>
      <c r="I117" s="280"/>
      <c r="J117" s="280"/>
    </row>
    <row r="118" spans="1:10" x14ac:dyDescent="0.25">
      <c r="A118" s="268"/>
      <c r="B118" s="278"/>
      <c r="C118" s="278"/>
      <c r="D118" s="347"/>
      <c r="E118" s="347"/>
      <c r="F118" s="347"/>
      <c r="G118" s="387"/>
      <c r="H118" s="387"/>
      <c r="I118" s="275"/>
      <c r="J118" s="275"/>
    </row>
    <row r="119" spans="1:10" x14ac:dyDescent="0.25">
      <c r="A119" s="264" t="s">
        <v>163</v>
      </c>
      <c r="G119" s="356"/>
      <c r="H119" s="356"/>
      <c r="I119" s="280"/>
      <c r="J119" s="280"/>
    </row>
    <row r="120" spans="1:10" x14ac:dyDescent="0.25">
      <c r="A120" s="346" t="str">
        <f>$A$79</f>
        <v>($000 Real 2008)</v>
      </c>
      <c r="B120" s="267"/>
      <c r="D120" s="348">
        <v>2006</v>
      </c>
      <c r="E120" s="348">
        <v>2007</v>
      </c>
      <c r="F120" s="348">
        <v>2008</v>
      </c>
      <c r="G120" s="267"/>
      <c r="H120" s="267"/>
      <c r="I120" s="267"/>
      <c r="J120" s="267"/>
    </row>
    <row r="121" spans="1:10" x14ac:dyDescent="0.25">
      <c r="A121" s="356"/>
      <c r="B121" s="292"/>
      <c r="D121" s="346"/>
      <c r="E121" s="346"/>
      <c r="F121" s="346"/>
      <c r="G121" s="267"/>
      <c r="H121" s="267"/>
      <c r="I121" s="280"/>
      <c r="J121" s="280"/>
    </row>
    <row r="122" spans="1:10" x14ac:dyDescent="0.25">
      <c r="A122" s="84" t="s">
        <v>261</v>
      </c>
      <c r="B122" s="384"/>
      <c r="D122" s="275">
        <f>'Data 2006-08'!D10*'Data 2006-08'!D$156/10^3</f>
        <v>4113.0824272363143</v>
      </c>
      <c r="E122" s="275">
        <f>'Data 2006-08'!E10*'Data 2006-08'!E$156/10^3</f>
        <v>3801.2189652818615</v>
      </c>
      <c r="F122" s="275">
        <f>'Data 2006-08'!F10*'Data 2006-08'!F$156/10^3</f>
        <v>4655.6600456358174</v>
      </c>
      <c r="G122" s="275"/>
      <c r="H122" s="275"/>
      <c r="I122" s="290"/>
      <c r="J122" s="290"/>
    </row>
    <row r="123" spans="1:10" x14ac:dyDescent="0.25">
      <c r="A123" s="84" t="s">
        <v>260</v>
      </c>
      <c r="B123" s="384"/>
      <c r="D123" s="275">
        <f>'Data 2006-08'!D11*'Data 2006-08'!D$156/10^3</f>
        <v>1220.1400801068089</v>
      </c>
      <c r="E123" s="275">
        <f>'Data 2006-08'!E11*'Data 2006-08'!E$156/10^3</f>
        <v>3125.9226723837523</v>
      </c>
      <c r="F123" s="275">
        <f>'Data 2006-08'!F11*'Data 2006-08'!F$156/10^3</f>
        <v>4079.2840466409739</v>
      </c>
      <c r="G123" s="275"/>
      <c r="H123" s="275"/>
      <c r="I123" s="290"/>
      <c r="J123" s="290"/>
    </row>
    <row r="124" spans="1:10" x14ac:dyDescent="0.25">
      <c r="A124" s="356" t="s">
        <v>4</v>
      </c>
      <c r="B124" s="385"/>
      <c r="D124" s="275">
        <f>'Data 2006-08'!D28*'Data 2006-08'!D$156/10^3</f>
        <v>0</v>
      </c>
      <c r="E124" s="275">
        <f>'Data 2006-08'!E28*'Data 2006-08'!E$156/10^3</f>
        <v>0</v>
      </c>
      <c r="F124" s="275">
        <f>'Data 2006-08'!F28*'Data 2006-08'!F$156/10^3</f>
        <v>0</v>
      </c>
      <c r="G124" s="275"/>
      <c r="H124" s="275"/>
      <c r="I124" s="290"/>
      <c r="J124" s="290"/>
    </row>
    <row r="125" spans="1:10" x14ac:dyDescent="0.25">
      <c r="A125" s="356" t="s">
        <v>290</v>
      </c>
      <c r="B125" s="386"/>
      <c r="D125" s="381">
        <f>D122+D123-D124</f>
        <v>5333.2225073431237</v>
      </c>
      <c r="E125" s="381">
        <f>E122+E123-E124</f>
        <v>6927.1416376656143</v>
      </c>
      <c r="F125" s="381">
        <f>F122+F123-F124</f>
        <v>8734.9440922767917</v>
      </c>
      <c r="G125" s="275"/>
      <c r="H125" s="275"/>
      <c r="I125" s="275"/>
      <c r="J125" s="275"/>
    </row>
    <row r="126" spans="1:10" x14ac:dyDescent="0.25">
      <c r="A126" s="356"/>
      <c r="B126" s="385"/>
      <c r="D126" s="275"/>
      <c r="E126" s="275"/>
      <c r="F126" s="275"/>
      <c r="G126" s="275"/>
      <c r="H126" s="275"/>
      <c r="I126" s="275"/>
      <c r="J126" s="275"/>
    </row>
    <row r="127" spans="1:10" x14ac:dyDescent="0.25">
      <c r="A127" s="84" t="s">
        <v>43</v>
      </c>
      <c r="B127" s="384"/>
      <c r="D127" s="275">
        <f>'Data 2006-08'!D12*'Data 2006-08'!D$156/10^3</f>
        <v>2398.8705260347124</v>
      </c>
      <c r="E127" s="275">
        <f>'Data 2006-08'!E12*'Data 2006-08'!E$156/10^3</f>
        <v>64.866075786767396</v>
      </c>
      <c r="F127" s="275">
        <f>'Data 2006-08'!F12*'Data 2006-08'!F$156/10^3</f>
        <v>111.64067900000009</v>
      </c>
      <c r="G127" s="275"/>
      <c r="H127" s="275"/>
      <c r="I127" s="275"/>
      <c r="J127" s="275"/>
    </row>
    <row r="128" spans="1:10" x14ac:dyDescent="0.25">
      <c r="A128" s="84" t="s">
        <v>44</v>
      </c>
      <c r="B128" s="384"/>
      <c r="D128" s="275">
        <f>'Data 2006-08'!D13*'Data 2006-08'!D$156/10^3</f>
        <v>235.33889586114816</v>
      </c>
      <c r="E128" s="275">
        <f>'Data 2006-08'!E13*'Data 2006-08'!E$156/10^3</f>
        <v>116.74801784610018</v>
      </c>
      <c r="F128" s="275">
        <f>'Data 2006-08'!F13*'Data 2006-08'!F$156/10^3</f>
        <v>0</v>
      </c>
      <c r="G128" s="275"/>
      <c r="H128" s="275"/>
      <c r="I128" s="290"/>
      <c r="J128" s="290"/>
    </row>
    <row r="129" spans="1:10" x14ac:dyDescent="0.25">
      <c r="A129" s="356"/>
      <c r="B129" s="280"/>
      <c r="D129" s="387"/>
      <c r="E129" s="387"/>
      <c r="F129" s="387"/>
      <c r="G129" s="275"/>
      <c r="H129" s="275"/>
      <c r="I129" s="275"/>
      <c r="J129" s="275"/>
    </row>
    <row r="130" spans="1:10" x14ac:dyDescent="0.25">
      <c r="A130" s="356" t="s">
        <v>168</v>
      </c>
      <c r="B130" s="382"/>
      <c r="D130" s="381">
        <f>SUM(D125:D128)</f>
        <v>7967.4319292389846</v>
      </c>
      <c r="E130" s="381">
        <f>SUM(E125:E128)</f>
        <v>7108.7557312984818</v>
      </c>
      <c r="F130" s="381">
        <f>SUM(F125:F128)</f>
        <v>8846.5847712767918</v>
      </c>
      <c r="G130" s="275"/>
      <c r="H130" s="275"/>
      <c r="I130" s="275"/>
      <c r="J130" s="275"/>
    </row>
    <row r="131" spans="1:10" x14ac:dyDescent="0.25">
      <c r="B131" s="292"/>
      <c r="D131" s="380"/>
      <c r="E131" s="380"/>
      <c r="F131" s="380"/>
      <c r="G131" s="275"/>
      <c r="H131" s="275"/>
      <c r="I131" s="280"/>
      <c r="J131" s="280"/>
    </row>
    <row r="132" spans="1:10" x14ac:dyDescent="0.25">
      <c r="A132" s="383"/>
      <c r="B132" s="353"/>
      <c r="C132" s="353"/>
      <c r="D132" s="353"/>
      <c r="E132" s="353"/>
      <c r="F132" s="353"/>
      <c r="G132" s="356"/>
      <c r="H132" s="356"/>
      <c r="I132" s="280"/>
      <c r="J132" s="280"/>
    </row>
    <row r="133" spans="1:10" x14ac:dyDescent="0.25">
      <c r="A133" s="268"/>
      <c r="G133" s="356"/>
      <c r="H133" s="356"/>
      <c r="I133" s="280"/>
      <c r="J133" s="280"/>
    </row>
    <row r="134" spans="1:10" x14ac:dyDescent="0.25">
      <c r="A134" s="268"/>
      <c r="G134" s="356"/>
      <c r="H134" s="356"/>
      <c r="I134" s="280"/>
      <c r="J134" s="280"/>
    </row>
    <row r="135" spans="1:10" x14ac:dyDescent="0.25">
      <c r="A135" s="388" t="s">
        <v>169</v>
      </c>
      <c r="B135" s="279"/>
      <c r="C135" s="279"/>
      <c r="D135" s="279"/>
      <c r="G135" s="356"/>
      <c r="H135" s="356"/>
      <c r="I135" s="280"/>
      <c r="J135" s="280"/>
    </row>
    <row r="136" spans="1:10" x14ac:dyDescent="0.25">
      <c r="A136" s="346" t="str">
        <f>$A$79</f>
        <v>($000 Real 2008)</v>
      </c>
      <c r="B136" s="346"/>
      <c r="C136" s="346"/>
      <c r="D136" s="348">
        <v>2006</v>
      </c>
      <c r="E136" s="348">
        <v>2007</v>
      </c>
      <c r="F136" s="348">
        <v>2008</v>
      </c>
      <c r="G136" s="346"/>
      <c r="H136" s="346"/>
      <c r="I136" s="267"/>
      <c r="J136" s="267"/>
    </row>
    <row r="137" spans="1:10" s="356" customFormat="1" x14ac:dyDescent="0.25">
      <c r="I137" s="280"/>
      <c r="J137" s="280"/>
    </row>
    <row r="138" spans="1:10" x14ac:dyDescent="0.25">
      <c r="A138" s="346" t="s">
        <v>261</v>
      </c>
      <c r="B138" s="356"/>
      <c r="C138" s="356"/>
      <c r="D138" s="356"/>
      <c r="E138" s="356"/>
      <c r="F138" s="356"/>
      <c r="G138" s="356"/>
      <c r="H138" s="356"/>
      <c r="I138" s="280"/>
      <c r="J138" s="280"/>
    </row>
    <row r="139" spans="1:10" x14ac:dyDescent="0.25">
      <c r="A139" s="356" t="s">
        <v>171</v>
      </c>
      <c r="B139" s="280"/>
      <c r="C139" s="280"/>
      <c r="D139" s="290">
        <v>0</v>
      </c>
      <c r="E139" s="387">
        <f>D143</f>
        <v>4054.3241068472239</v>
      </c>
      <c r="F139" s="387">
        <f>E143</f>
        <v>7683.7233032754493</v>
      </c>
      <c r="G139" s="387"/>
      <c r="H139" s="387"/>
      <c r="I139" s="275"/>
      <c r="J139" s="275"/>
    </row>
    <row r="140" spans="1:10" x14ac:dyDescent="0.25">
      <c r="A140" s="356" t="s">
        <v>172</v>
      </c>
      <c r="B140" s="280"/>
      <c r="C140" s="280"/>
      <c r="D140" s="387">
        <f>D122</f>
        <v>4113.0824272363143</v>
      </c>
      <c r="E140" s="387">
        <f>E122</f>
        <v>3801.2189652818615</v>
      </c>
      <c r="F140" s="387">
        <f>F122</f>
        <v>4655.6600456358174</v>
      </c>
      <c r="G140" s="387"/>
      <c r="H140" s="387"/>
      <c r="I140" s="275"/>
      <c r="J140" s="275"/>
    </row>
    <row r="141" spans="1:10" x14ac:dyDescent="0.25">
      <c r="A141" s="57" t="s">
        <v>5</v>
      </c>
      <c r="B141" s="280"/>
      <c r="C141" s="280"/>
      <c r="D141" s="759">
        <v>0</v>
      </c>
      <c r="E141" s="759">
        <v>0</v>
      </c>
      <c r="F141" s="759">
        <v>0</v>
      </c>
      <c r="G141" s="275"/>
      <c r="H141" s="275"/>
      <c r="I141" s="275"/>
      <c r="J141" s="275"/>
    </row>
    <row r="142" spans="1:10" x14ac:dyDescent="0.25">
      <c r="A142" s="57" t="s">
        <v>137</v>
      </c>
      <c r="B142" s="280"/>
      <c r="C142" s="280"/>
      <c r="D142" s="275">
        <f>D211</f>
        <v>58.758320389090201</v>
      </c>
      <c r="E142" s="275">
        <f>E211</f>
        <v>171.81976885363557</v>
      </c>
      <c r="F142" s="275">
        <f>F211</f>
        <v>292.63232615245954</v>
      </c>
      <c r="G142" s="275"/>
      <c r="H142" s="275"/>
      <c r="I142" s="275"/>
      <c r="J142" s="275"/>
    </row>
    <row r="143" spans="1:10" x14ac:dyDescent="0.25">
      <c r="A143" s="356" t="s">
        <v>173</v>
      </c>
      <c r="B143" s="280"/>
      <c r="C143" s="280"/>
      <c r="D143" s="389">
        <f>D139+D140-D141-D142</f>
        <v>4054.3241068472239</v>
      </c>
      <c r="E143" s="389">
        <f>E139+E140-E141-E142</f>
        <v>7683.7233032754493</v>
      </c>
      <c r="F143" s="389">
        <f>F139+F140-F141-F142</f>
        <v>12046.751022758806</v>
      </c>
      <c r="G143" s="275"/>
      <c r="H143" s="275"/>
      <c r="I143" s="275"/>
      <c r="J143" s="275"/>
    </row>
    <row r="144" spans="1:10" x14ac:dyDescent="0.25">
      <c r="A144" s="356"/>
      <c r="B144" s="280"/>
      <c r="C144" s="280"/>
      <c r="D144" s="387"/>
      <c r="E144" s="387"/>
      <c r="F144" s="387"/>
      <c r="G144" s="275"/>
      <c r="H144" s="275"/>
      <c r="I144" s="275"/>
      <c r="J144" s="275"/>
    </row>
    <row r="145" spans="1:10" x14ac:dyDescent="0.25">
      <c r="A145" s="356" t="s">
        <v>174</v>
      </c>
      <c r="B145" s="280"/>
      <c r="C145" s="280"/>
      <c r="D145" s="387">
        <f>(D143+D139)/2</f>
        <v>2027.162053423612</v>
      </c>
      <c r="E145" s="387">
        <f>(E143+E139)/2</f>
        <v>5869.0237050613368</v>
      </c>
      <c r="F145" s="387">
        <f>(F143+F139)/2</f>
        <v>9865.2371630171274</v>
      </c>
      <c r="G145" s="275"/>
      <c r="H145" s="275"/>
      <c r="I145" s="275"/>
      <c r="J145" s="275"/>
    </row>
    <row r="146" spans="1:10" x14ac:dyDescent="0.25">
      <c r="A146" s="356"/>
      <c r="B146" s="356"/>
      <c r="C146" s="356"/>
      <c r="D146" s="356"/>
      <c r="E146" s="356"/>
      <c r="F146" s="356"/>
      <c r="G146" s="280"/>
      <c r="H146" s="280"/>
      <c r="I146" s="280"/>
      <c r="J146" s="280"/>
    </row>
    <row r="147" spans="1:10" x14ac:dyDescent="0.25">
      <c r="A147" s="356"/>
      <c r="B147" s="356"/>
      <c r="C147" s="356"/>
      <c r="D147" s="356"/>
      <c r="E147" s="356"/>
      <c r="F147" s="356"/>
      <c r="G147" s="280"/>
      <c r="H147" s="280"/>
      <c r="I147" s="280"/>
      <c r="J147" s="280"/>
    </row>
    <row r="148" spans="1:10" x14ac:dyDescent="0.25">
      <c r="A148" s="346" t="s">
        <v>260</v>
      </c>
      <c r="B148" s="356"/>
      <c r="C148" s="356"/>
      <c r="D148" s="356"/>
      <c r="E148" s="356"/>
      <c r="F148" s="356"/>
      <c r="G148" s="280"/>
      <c r="H148" s="280"/>
      <c r="I148" s="280"/>
      <c r="J148" s="280"/>
    </row>
    <row r="149" spans="1:10" x14ac:dyDescent="0.25">
      <c r="A149" s="356" t="s">
        <v>171</v>
      </c>
      <c r="B149" s="280"/>
      <c r="C149" s="280"/>
      <c r="D149" s="290">
        <v>0</v>
      </c>
      <c r="E149" s="387">
        <f>D153</f>
        <v>1159.1330761014685</v>
      </c>
      <c r="F149" s="387">
        <f>E153</f>
        <v>4006.745606855352</v>
      </c>
      <c r="G149" s="275"/>
      <c r="H149" s="275"/>
      <c r="I149" s="275"/>
      <c r="J149" s="275"/>
    </row>
    <row r="150" spans="1:10" x14ac:dyDescent="0.25">
      <c r="A150" s="356" t="s">
        <v>172</v>
      </c>
      <c r="B150" s="280"/>
      <c r="C150" s="280"/>
      <c r="D150" s="387">
        <f>D123-D124</f>
        <v>1220.1400801068089</v>
      </c>
      <c r="E150" s="387">
        <f>E123-E124</f>
        <v>3125.9226723837523</v>
      </c>
      <c r="F150" s="387">
        <f>F123-F124</f>
        <v>4079.2840466409739</v>
      </c>
      <c r="G150" s="275"/>
      <c r="H150" s="275"/>
      <c r="I150" s="275"/>
      <c r="J150" s="275"/>
    </row>
    <row r="151" spans="1:10" x14ac:dyDescent="0.25">
      <c r="A151" s="57" t="s">
        <v>5</v>
      </c>
      <c r="B151" s="280"/>
      <c r="C151" s="280"/>
      <c r="D151" s="275">
        <f>'Data 2006-08'!D29*'Data 2006-08'!D$156/10^3</f>
        <v>0</v>
      </c>
      <c r="E151" s="275">
        <f>'Data 2006-08'!E29*'Data 2006-08'!E$156/10^3</f>
        <v>0</v>
      </c>
      <c r="F151" s="275">
        <f>'Data 2006-08'!F29*'Data 2006-08'!F$156/10^3</f>
        <v>0</v>
      </c>
      <c r="G151" s="275"/>
      <c r="H151" s="275"/>
      <c r="I151" s="275"/>
      <c r="J151" s="275"/>
    </row>
    <row r="152" spans="1:10" x14ac:dyDescent="0.25">
      <c r="A152" s="57" t="s">
        <v>137</v>
      </c>
      <c r="B152" s="280"/>
      <c r="C152" s="280"/>
      <c r="D152" s="275">
        <f>D219</f>
        <v>61.007004005340448</v>
      </c>
      <c r="E152" s="275">
        <f>E219</f>
        <v>278.31014162986855</v>
      </c>
      <c r="F152" s="275">
        <f>F219</f>
        <v>638.5704775811048</v>
      </c>
      <c r="G152" s="275"/>
      <c r="H152" s="275"/>
      <c r="I152" s="275"/>
      <c r="J152" s="275"/>
    </row>
    <row r="153" spans="1:10" x14ac:dyDescent="0.25">
      <c r="A153" s="356" t="s">
        <v>173</v>
      </c>
      <c r="B153" s="280"/>
      <c r="C153" s="280"/>
      <c r="D153" s="389">
        <f>D149+D150-D151-D152</f>
        <v>1159.1330761014685</v>
      </c>
      <c r="E153" s="389">
        <f>E149+E150-E151-E152</f>
        <v>4006.745606855352</v>
      </c>
      <c r="F153" s="389">
        <f>F149+F150-F151-F152</f>
        <v>7447.4591759152208</v>
      </c>
      <c r="G153" s="275"/>
      <c r="H153" s="275"/>
      <c r="I153" s="275"/>
      <c r="J153" s="275"/>
    </row>
    <row r="154" spans="1:10" x14ac:dyDescent="0.25">
      <c r="A154" s="356"/>
      <c r="B154" s="280"/>
      <c r="C154" s="280"/>
      <c r="D154" s="387"/>
      <c r="E154" s="387"/>
      <c r="F154" s="387"/>
      <c r="G154" s="275"/>
      <c r="H154" s="275"/>
      <c r="I154" s="275"/>
      <c r="J154" s="275"/>
    </row>
    <row r="155" spans="1:10" x14ac:dyDescent="0.25">
      <c r="A155" s="356" t="s">
        <v>174</v>
      </c>
      <c r="B155" s="280"/>
      <c r="C155" s="280"/>
      <c r="D155" s="387">
        <f>(D153+D149)/2</f>
        <v>579.56653805073427</v>
      </c>
      <c r="E155" s="387">
        <f>(E153+E149)/2</f>
        <v>2582.9393414784104</v>
      </c>
      <c r="F155" s="387">
        <f>(F153+F149)/2</f>
        <v>5727.102391385286</v>
      </c>
      <c r="G155" s="275"/>
      <c r="H155" s="275"/>
      <c r="I155" s="275"/>
      <c r="J155" s="275"/>
    </row>
    <row r="156" spans="1:10" x14ac:dyDescent="0.25">
      <c r="A156" s="356"/>
      <c r="B156" s="356"/>
      <c r="C156" s="356"/>
      <c r="E156" s="356"/>
      <c r="F156" s="356"/>
      <c r="G156" s="356"/>
      <c r="H156" s="356"/>
      <c r="I156" s="280"/>
      <c r="J156" s="280"/>
    </row>
    <row r="157" spans="1:10" x14ac:dyDescent="0.25">
      <c r="A157" s="356"/>
      <c r="B157" s="356"/>
      <c r="C157" s="356"/>
      <c r="D157" s="356"/>
      <c r="E157" s="356"/>
      <c r="F157" s="356"/>
      <c r="G157" s="356"/>
      <c r="H157" s="356"/>
      <c r="I157" s="280"/>
      <c r="J157" s="280"/>
    </row>
    <row r="158" spans="1:10" x14ac:dyDescent="0.25">
      <c r="A158" s="346" t="s">
        <v>90</v>
      </c>
      <c r="B158" s="356"/>
      <c r="C158" s="356"/>
      <c r="D158" s="356"/>
      <c r="E158" s="356"/>
      <c r="F158" s="356"/>
      <c r="G158" s="275"/>
      <c r="H158" s="275"/>
      <c r="I158" s="280"/>
      <c r="J158" s="280"/>
    </row>
    <row r="159" spans="1:10" x14ac:dyDescent="0.25">
      <c r="A159" s="356" t="s">
        <v>171</v>
      </c>
      <c r="B159" s="275"/>
      <c r="C159" s="275"/>
      <c r="D159" s="290">
        <v>0</v>
      </c>
      <c r="E159" s="387">
        <f>D163</f>
        <v>2158.9834734312412</v>
      </c>
      <c r="F159" s="387">
        <f>E163</f>
        <v>1737.5888364323894</v>
      </c>
      <c r="G159" s="275"/>
      <c r="H159" s="275"/>
      <c r="I159" s="275"/>
      <c r="J159" s="275"/>
    </row>
    <row r="160" spans="1:10" x14ac:dyDescent="0.25">
      <c r="A160" s="356" t="s">
        <v>172</v>
      </c>
      <c r="B160" s="275"/>
      <c r="C160" s="275"/>
      <c r="D160" s="387">
        <f>D127</f>
        <v>2398.8705260347124</v>
      </c>
      <c r="E160" s="387">
        <f>E127</f>
        <v>64.866075786767396</v>
      </c>
      <c r="F160" s="387">
        <f>F127</f>
        <v>111.64067900000009</v>
      </c>
      <c r="G160" s="275"/>
      <c r="H160" s="275"/>
      <c r="I160" s="275"/>
      <c r="J160" s="275"/>
    </row>
    <row r="161" spans="1:10" x14ac:dyDescent="0.25">
      <c r="A161" s="57" t="s">
        <v>5</v>
      </c>
      <c r="B161" s="275"/>
      <c r="C161" s="275"/>
      <c r="D161" s="759">
        <v>0</v>
      </c>
      <c r="E161" s="759">
        <v>0</v>
      </c>
      <c r="F161" s="759">
        <v>0</v>
      </c>
      <c r="G161" s="275"/>
      <c r="H161" s="275"/>
      <c r="I161" s="275"/>
      <c r="J161" s="275"/>
    </row>
    <row r="162" spans="1:10" x14ac:dyDescent="0.25">
      <c r="A162" s="356" t="s">
        <v>176</v>
      </c>
      <c r="B162" s="275"/>
      <c r="C162" s="275"/>
      <c r="D162" s="275">
        <f>D227</f>
        <v>239.88705260347123</v>
      </c>
      <c r="E162" s="275">
        <f>E227</f>
        <v>486.26071278561921</v>
      </c>
      <c r="F162" s="275">
        <f>F227</f>
        <v>503.91138826429597</v>
      </c>
      <c r="G162" s="275"/>
      <c r="H162" s="275"/>
      <c r="I162" s="275"/>
      <c r="J162" s="275"/>
    </row>
    <row r="163" spans="1:10" x14ac:dyDescent="0.25">
      <c r="A163" s="356" t="s">
        <v>173</v>
      </c>
      <c r="B163" s="275"/>
      <c r="C163" s="275"/>
      <c r="D163" s="389">
        <f>D159+D160-D161-D162</f>
        <v>2158.9834734312412</v>
      </c>
      <c r="E163" s="389">
        <f>E159+E160-E161-E162</f>
        <v>1737.5888364323894</v>
      </c>
      <c r="F163" s="389">
        <f>F159+F160-F161-F162</f>
        <v>1345.3181271680935</v>
      </c>
      <c r="G163" s="275"/>
      <c r="H163" s="275"/>
      <c r="I163" s="275"/>
      <c r="J163" s="275"/>
    </row>
    <row r="164" spans="1:10" x14ac:dyDescent="0.25">
      <c r="A164" s="356"/>
      <c r="B164" s="275"/>
      <c r="C164" s="275"/>
      <c r="D164" s="387"/>
      <c r="E164" s="387"/>
      <c r="F164" s="387"/>
      <c r="G164" s="275"/>
      <c r="H164" s="275"/>
      <c r="I164" s="275"/>
      <c r="J164" s="275"/>
    </row>
    <row r="165" spans="1:10" x14ac:dyDescent="0.25">
      <c r="A165" s="356" t="s">
        <v>174</v>
      </c>
      <c r="B165" s="275"/>
      <c r="C165" s="275"/>
      <c r="D165" s="387">
        <f>(D163+D159)/2</f>
        <v>1079.4917367156206</v>
      </c>
      <c r="E165" s="387">
        <f>(E163+E159)/2</f>
        <v>1948.2861549318154</v>
      </c>
      <c r="F165" s="387">
        <f>(F163+F159)/2</f>
        <v>1541.4534818002414</v>
      </c>
      <c r="G165" s="275"/>
      <c r="H165" s="275"/>
      <c r="I165" s="275"/>
      <c r="J165" s="275"/>
    </row>
    <row r="166" spans="1:10" x14ac:dyDescent="0.25">
      <c r="A166" s="356"/>
      <c r="B166" s="356"/>
      <c r="C166" s="356"/>
      <c r="E166" s="356"/>
      <c r="F166" s="356"/>
      <c r="G166" s="275"/>
      <c r="H166" s="275"/>
      <c r="I166" s="280"/>
      <c r="J166" s="280"/>
    </row>
    <row r="167" spans="1:10" x14ac:dyDescent="0.25">
      <c r="A167" s="356"/>
      <c r="B167" s="356"/>
      <c r="C167" s="356"/>
      <c r="D167" s="356"/>
      <c r="E167" s="356"/>
      <c r="F167" s="356"/>
      <c r="G167" s="275"/>
      <c r="H167" s="275"/>
      <c r="I167" s="280"/>
      <c r="J167" s="280"/>
    </row>
    <row r="168" spans="1:10" x14ac:dyDescent="0.25">
      <c r="A168" s="346" t="s">
        <v>167</v>
      </c>
      <c r="B168" s="356"/>
      <c r="C168" s="356"/>
      <c r="D168" s="356"/>
      <c r="E168" s="356"/>
      <c r="F168" s="356"/>
      <c r="G168" s="275"/>
      <c r="H168" s="275"/>
      <c r="I168" s="280"/>
      <c r="J168" s="280"/>
    </row>
    <row r="169" spans="1:10" x14ac:dyDescent="0.25">
      <c r="A169" s="356" t="s">
        <v>171</v>
      </c>
      <c r="B169" s="275"/>
      <c r="C169" s="275"/>
      <c r="D169" s="290">
        <v>0</v>
      </c>
      <c r="E169" s="387">
        <f>D173</f>
        <v>211.80500627503335</v>
      </c>
      <c r="F169" s="387">
        <f>E173</f>
        <v>269.81044316429387</v>
      </c>
      <c r="G169" s="275"/>
      <c r="H169" s="275"/>
      <c r="I169" s="275"/>
      <c r="J169" s="275"/>
    </row>
    <row r="170" spans="1:10" x14ac:dyDescent="0.25">
      <c r="A170" s="356" t="s">
        <v>172</v>
      </c>
      <c r="B170" s="275"/>
      <c r="C170" s="275"/>
      <c r="D170" s="387">
        <f>D128</f>
        <v>235.33889586114816</v>
      </c>
      <c r="E170" s="387">
        <f>E128</f>
        <v>116.74801784610018</v>
      </c>
      <c r="F170" s="387">
        <f>F128</f>
        <v>0</v>
      </c>
      <c r="G170" s="275"/>
      <c r="H170" s="275"/>
      <c r="I170" s="275"/>
      <c r="J170" s="275"/>
    </row>
    <row r="171" spans="1:10" x14ac:dyDescent="0.25">
      <c r="A171" s="57" t="s">
        <v>5</v>
      </c>
      <c r="B171" s="275"/>
      <c r="C171" s="275"/>
      <c r="D171" s="759">
        <v>0</v>
      </c>
      <c r="E171" s="759">
        <v>0</v>
      </c>
      <c r="F171" s="759">
        <v>0</v>
      </c>
      <c r="G171" s="275"/>
      <c r="H171" s="275"/>
      <c r="I171" s="275"/>
      <c r="J171" s="275"/>
    </row>
    <row r="172" spans="1:10" x14ac:dyDescent="0.25">
      <c r="A172" s="356" t="s">
        <v>176</v>
      </c>
      <c r="B172" s="275"/>
      <c r="C172" s="275"/>
      <c r="D172" s="275">
        <f>D235</f>
        <v>23.533889586114817</v>
      </c>
      <c r="E172" s="275">
        <f>E235</f>
        <v>58.742580956839653</v>
      </c>
      <c r="F172" s="275">
        <f>F235</f>
        <v>70.417382741449671</v>
      </c>
      <c r="G172" s="275"/>
      <c r="H172" s="275"/>
      <c r="I172" s="275"/>
      <c r="J172" s="275"/>
    </row>
    <row r="173" spans="1:10" x14ac:dyDescent="0.25">
      <c r="A173" s="356" t="s">
        <v>173</v>
      </c>
      <c r="B173" s="275"/>
      <c r="C173" s="275"/>
      <c r="D173" s="389">
        <f>D169+D170-D171-D172</f>
        <v>211.80500627503335</v>
      </c>
      <c r="E173" s="389">
        <f>E169+E170-E171-E172</f>
        <v>269.81044316429387</v>
      </c>
      <c r="F173" s="389">
        <f>F169+F170-F171-F172</f>
        <v>199.3930604228442</v>
      </c>
      <c r="G173" s="275"/>
      <c r="H173" s="275"/>
      <c r="I173" s="275"/>
      <c r="J173" s="275"/>
    </row>
    <row r="174" spans="1:10" x14ac:dyDescent="0.25">
      <c r="A174" s="356"/>
      <c r="B174" s="275"/>
      <c r="C174" s="275"/>
      <c r="D174" s="387"/>
      <c r="E174" s="387"/>
      <c r="F174" s="387"/>
      <c r="G174" s="275"/>
      <c r="H174" s="275"/>
      <c r="I174" s="275"/>
      <c r="J174" s="275"/>
    </row>
    <row r="175" spans="1:10" x14ac:dyDescent="0.25">
      <c r="A175" s="356" t="s">
        <v>174</v>
      </c>
      <c r="B175" s="275"/>
      <c r="C175" s="275"/>
      <c r="D175" s="387">
        <f>(D173+D169)/2</f>
        <v>105.90250313751667</v>
      </c>
      <c r="E175" s="387">
        <f>(E173+E169)/2</f>
        <v>240.80772471966361</v>
      </c>
      <c r="F175" s="387">
        <f>(F173+F169)/2</f>
        <v>234.60175179356904</v>
      </c>
      <c r="G175" s="275"/>
      <c r="H175" s="275"/>
      <c r="I175" s="275"/>
      <c r="J175" s="275"/>
    </row>
    <row r="176" spans="1:10" x14ac:dyDescent="0.25">
      <c r="A176" s="356"/>
      <c r="B176" s="275"/>
      <c r="C176" s="275"/>
      <c r="D176" s="387"/>
      <c r="E176" s="387"/>
      <c r="F176" s="387"/>
      <c r="G176" s="275"/>
      <c r="H176" s="275"/>
      <c r="I176" s="275"/>
      <c r="J176" s="275"/>
    </row>
    <row r="177" spans="1:10" x14ac:dyDescent="0.25">
      <c r="A177" s="356"/>
      <c r="B177" s="275"/>
      <c r="C177" s="275"/>
      <c r="D177" s="387"/>
      <c r="E177" s="387"/>
      <c r="F177" s="387"/>
      <c r="G177" s="387"/>
      <c r="H177" s="387"/>
      <c r="I177" s="275"/>
      <c r="J177" s="275"/>
    </row>
    <row r="178" spans="1:10" x14ac:dyDescent="0.25">
      <c r="A178" s="346" t="s">
        <v>45</v>
      </c>
      <c r="B178" s="387"/>
      <c r="C178" s="387"/>
      <c r="D178" s="387"/>
      <c r="E178" s="387"/>
      <c r="F178" s="387"/>
      <c r="G178" s="387"/>
      <c r="H178" s="387"/>
      <c r="I178" s="275"/>
      <c r="J178" s="275"/>
    </row>
    <row r="179" spans="1:10" x14ac:dyDescent="0.25">
      <c r="A179" s="356" t="s">
        <v>171</v>
      </c>
      <c r="B179" s="387"/>
      <c r="C179" s="387"/>
      <c r="D179" s="387">
        <f t="shared" ref="D179:F183" si="8">SUM(D139,D149,D159,D169)</f>
        <v>0</v>
      </c>
      <c r="E179" s="387">
        <f t="shared" si="8"/>
        <v>7584.2456626549665</v>
      </c>
      <c r="F179" s="387">
        <f t="shared" si="8"/>
        <v>13697.868189727484</v>
      </c>
      <c r="G179" s="275"/>
      <c r="H179" s="275"/>
      <c r="I179" s="275"/>
      <c r="J179" s="275"/>
    </row>
    <row r="180" spans="1:10" x14ac:dyDescent="0.25">
      <c r="A180" s="356" t="s">
        <v>172</v>
      </c>
      <c r="B180" s="387"/>
      <c r="C180" s="387"/>
      <c r="D180" s="387">
        <f t="shared" si="8"/>
        <v>7967.4319292389846</v>
      </c>
      <c r="E180" s="387">
        <f t="shared" si="8"/>
        <v>7108.7557312984818</v>
      </c>
      <c r="F180" s="387">
        <f t="shared" si="8"/>
        <v>8846.5847712767918</v>
      </c>
      <c r="G180" s="275"/>
      <c r="H180" s="275"/>
      <c r="I180" s="275"/>
      <c r="J180" s="275"/>
    </row>
    <row r="181" spans="1:10" x14ac:dyDescent="0.25">
      <c r="A181" s="356" t="s">
        <v>177</v>
      </c>
      <c r="B181" s="387"/>
      <c r="C181" s="387"/>
      <c r="D181" s="387">
        <f t="shared" si="8"/>
        <v>0</v>
      </c>
      <c r="E181" s="387">
        <f t="shared" si="8"/>
        <v>0</v>
      </c>
      <c r="F181" s="387">
        <f t="shared" si="8"/>
        <v>0</v>
      </c>
      <c r="G181" s="275"/>
      <c r="H181" s="275"/>
      <c r="I181" s="275"/>
      <c r="J181" s="275"/>
    </row>
    <row r="182" spans="1:10" x14ac:dyDescent="0.25">
      <c r="A182" s="356" t="s">
        <v>176</v>
      </c>
      <c r="B182" s="387"/>
      <c r="C182" s="387"/>
      <c r="D182" s="387">
        <f t="shared" si="8"/>
        <v>383.18626658401672</v>
      </c>
      <c r="E182" s="387">
        <f t="shared" si="8"/>
        <v>995.13320422596303</v>
      </c>
      <c r="F182" s="387">
        <f t="shared" si="8"/>
        <v>1505.5315747393101</v>
      </c>
      <c r="G182" s="275"/>
      <c r="H182" s="275"/>
      <c r="I182" s="275"/>
      <c r="J182" s="275"/>
    </row>
    <row r="183" spans="1:10" x14ac:dyDescent="0.25">
      <c r="A183" s="356" t="s">
        <v>173</v>
      </c>
      <c r="B183" s="387"/>
      <c r="C183" s="387"/>
      <c r="D183" s="389">
        <f t="shared" si="8"/>
        <v>7584.2456626549665</v>
      </c>
      <c r="E183" s="389">
        <f t="shared" si="8"/>
        <v>13697.868189727484</v>
      </c>
      <c r="F183" s="389">
        <f t="shared" si="8"/>
        <v>21038.921386264967</v>
      </c>
      <c r="G183" s="275"/>
      <c r="H183" s="275"/>
      <c r="I183" s="275"/>
      <c r="J183" s="275"/>
    </row>
    <row r="184" spans="1:10" x14ac:dyDescent="0.25">
      <c r="A184" s="356"/>
      <c r="B184" s="387"/>
      <c r="C184" s="387"/>
      <c r="D184" s="387"/>
      <c r="E184" s="387"/>
      <c r="F184" s="387"/>
      <c r="G184" s="275"/>
      <c r="H184" s="275"/>
      <c r="I184" s="275"/>
      <c r="J184" s="275"/>
    </row>
    <row r="185" spans="1:10" x14ac:dyDescent="0.25">
      <c r="A185" s="356" t="s">
        <v>174</v>
      </c>
      <c r="B185" s="387"/>
      <c r="C185" s="387"/>
      <c r="D185" s="387">
        <f>SUM(D145,D155,D165,D175)</f>
        <v>3792.1228313274833</v>
      </c>
      <c r="E185" s="387">
        <f>SUM(E145,E155,E165,E175)</f>
        <v>10641.056926191226</v>
      </c>
      <c r="F185" s="387">
        <f>SUM(F145,F155,F165,F175)</f>
        <v>17368.394787996225</v>
      </c>
      <c r="G185" s="275"/>
      <c r="H185" s="275"/>
      <c r="I185" s="275"/>
      <c r="J185" s="275"/>
    </row>
    <row r="186" spans="1:10" x14ac:dyDescent="0.25">
      <c r="D186" s="390"/>
      <c r="E186" s="390"/>
      <c r="F186" s="390"/>
      <c r="G186" s="275"/>
      <c r="H186" s="275"/>
      <c r="I186" s="369"/>
      <c r="J186" s="369"/>
    </row>
    <row r="187" spans="1:10" x14ac:dyDescent="0.25">
      <c r="A187" s="344" t="s">
        <v>291</v>
      </c>
      <c r="G187" s="275"/>
      <c r="H187" s="275"/>
      <c r="I187" s="280"/>
      <c r="J187" s="280"/>
    </row>
    <row r="188" spans="1:10" x14ac:dyDescent="0.25">
      <c r="D188" s="391">
        <v>2006</v>
      </c>
      <c r="E188" s="391">
        <v>2007</v>
      </c>
      <c r="F188" s="391">
        <v>2008</v>
      </c>
      <c r="G188" s="275"/>
      <c r="H188" s="275"/>
      <c r="I188" s="392"/>
      <c r="J188" s="392"/>
    </row>
    <row r="189" spans="1:10" x14ac:dyDescent="0.25">
      <c r="A189" s="343" t="s">
        <v>179</v>
      </c>
      <c r="G189" s="275"/>
      <c r="H189" s="275"/>
      <c r="I189" s="280"/>
      <c r="J189" s="280"/>
    </row>
    <row r="190" spans="1:10" x14ac:dyDescent="0.25">
      <c r="A190" s="84" t="s">
        <v>261</v>
      </c>
      <c r="D190" s="410">
        <f>'Data 2006-08'!$C161</f>
        <v>35</v>
      </c>
      <c r="E190" s="410">
        <f>'Data 2006-08'!$C161</f>
        <v>35</v>
      </c>
      <c r="F190" s="410">
        <f>'Data 2006-08'!$C161</f>
        <v>35</v>
      </c>
      <c r="G190" s="275"/>
      <c r="H190" s="275"/>
      <c r="I190" s="394"/>
      <c r="J190" s="394"/>
    </row>
    <row r="191" spans="1:10" x14ac:dyDescent="0.25">
      <c r="A191" s="84" t="s">
        <v>260</v>
      </c>
      <c r="D191" s="410">
        <f>'Data 2006-08'!$C162</f>
        <v>10</v>
      </c>
      <c r="E191" s="410">
        <f>'Data 2006-08'!$C162</f>
        <v>10</v>
      </c>
      <c r="F191" s="410">
        <f>'Data 2006-08'!$C162</f>
        <v>10</v>
      </c>
      <c r="G191" s="275"/>
      <c r="H191" s="275"/>
      <c r="I191" s="394"/>
      <c r="J191" s="394"/>
    </row>
    <row r="192" spans="1:10" x14ac:dyDescent="0.25">
      <c r="A192" s="84" t="s">
        <v>43</v>
      </c>
      <c r="D192" s="410">
        <f>'Data 2006-08'!$C163</f>
        <v>5</v>
      </c>
      <c r="E192" s="410">
        <f>'Data 2006-08'!$C163</f>
        <v>5</v>
      </c>
      <c r="F192" s="410">
        <f>'Data 2006-08'!$C163</f>
        <v>5</v>
      </c>
      <c r="G192" s="275"/>
      <c r="H192" s="275"/>
      <c r="I192" s="394"/>
      <c r="J192" s="394"/>
    </row>
    <row r="193" spans="1:10" x14ac:dyDescent="0.25">
      <c r="A193" s="84" t="s">
        <v>44</v>
      </c>
      <c r="D193" s="410">
        <f>'Data 2006-08'!$C164</f>
        <v>5</v>
      </c>
      <c r="E193" s="410">
        <f>'Data 2006-08'!$C164</f>
        <v>5</v>
      </c>
      <c r="F193" s="410">
        <f>'Data 2006-08'!$C164</f>
        <v>5</v>
      </c>
      <c r="G193" s="275"/>
      <c r="H193" s="275"/>
      <c r="I193" s="394"/>
      <c r="J193" s="394"/>
    </row>
    <row r="194" spans="1:10" x14ac:dyDescent="0.25">
      <c r="G194" s="275"/>
      <c r="H194" s="275"/>
      <c r="I194" s="280"/>
      <c r="J194" s="280"/>
    </row>
    <row r="195" spans="1:10" s="279" customFormat="1" x14ac:dyDescent="0.25">
      <c r="I195" s="280"/>
      <c r="J195" s="280"/>
    </row>
    <row r="196" spans="1:10" s="365" customFormat="1" x14ac:dyDescent="0.25">
      <c r="A196" s="264" t="s">
        <v>292</v>
      </c>
      <c r="I196" s="395"/>
      <c r="J196" s="395"/>
    </row>
    <row r="197" spans="1:10" s="365" customFormat="1" x14ac:dyDescent="0.25">
      <c r="A197" s="346" t="str">
        <f>$A$79</f>
        <v>($000 Real 2008)</v>
      </c>
      <c r="I197" s="395"/>
      <c r="J197" s="395"/>
    </row>
    <row r="198" spans="1:10" s="365" customFormat="1" x14ac:dyDescent="0.25">
      <c r="A198" s="396" t="s">
        <v>181</v>
      </c>
      <c r="D198" s="397">
        <v>2006</v>
      </c>
      <c r="E198" s="397">
        <v>2007</v>
      </c>
      <c r="F198" s="397">
        <v>2008</v>
      </c>
      <c r="G198" s="394"/>
      <c r="H198" s="394"/>
      <c r="I198" s="392"/>
      <c r="J198" s="392"/>
    </row>
    <row r="199" spans="1:10" s="365" customFormat="1" x14ac:dyDescent="0.25">
      <c r="B199" s="398">
        <v>2006</v>
      </c>
      <c r="D199" s="365">
        <v>0.5</v>
      </c>
      <c r="E199" s="365">
        <v>1.5</v>
      </c>
      <c r="F199" s="365">
        <v>2.5</v>
      </c>
      <c r="G199" s="394"/>
      <c r="H199" s="394"/>
      <c r="I199" s="395"/>
      <c r="J199" s="395"/>
    </row>
    <row r="200" spans="1:10" s="365" customFormat="1" x14ac:dyDescent="0.25">
      <c r="B200" s="398">
        <v>2007</v>
      </c>
      <c r="E200" s="365">
        <v>0.5</v>
      </c>
      <c r="F200" s="365">
        <v>1.5</v>
      </c>
      <c r="G200" s="394"/>
      <c r="H200" s="394"/>
      <c r="I200" s="395"/>
      <c r="J200" s="395"/>
    </row>
    <row r="201" spans="1:10" s="365" customFormat="1" x14ac:dyDescent="0.25">
      <c r="B201" s="398">
        <v>2008</v>
      </c>
      <c r="F201" s="365">
        <v>0.5</v>
      </c>
      <c r="G201" s="394"/>
      <c r="H201" s="394"/>
      <c r="I201" s="395"/>
      <c r="J201" s="395"/>
    </row>
    <row r="202" spans="1:10" s="365" customFormat="1" x14ac:dyDescent="0.25">
      <c r="B202" s="398"/>
      <c r="G202" s="394"/>
      <c r="H202" s="394"/>
      <c r="I202" s="395"/>
      <c r="J202" s="395"/>
    </row>
    <row r="203" spans="1:10" s="365" customFormat="1" x14ac:dyDescent="0.25">
      <c r="B203" s="398"/>
      <c r="G203" s="394"/>
      <c r="H203" s="394"/>
      <c r="I203" s="395"/>
      <c r="J203" s="395"/>
    </row>
    <row r="204" spans="1:10" s="365" customFormat="1" x14ac:dyDescent="0.25">
      <c r="G204" s="394"/>
      <c r="H204" s="394"/>
      <c r="I204" s="395"/>
      <c r="J204" s="395"/>
    </row>
    <row r="205" spans="1:10" s="365" customFormat="1" x14ac:dyDescent="0.25">
      <c r="A205" s="393" t="s">
        <v>170</v>
      </c>
      <c r="C205" s="365" t="s">
        <v>182</v>
      </c>
      <c r="D205" s="397">
        <v>2006</v>
      </c>
      <c r="E205" s="397">
        <v>2007</v>
      </c>
      <c r="F205" s="397">
        <v>2008</v>
      </c>
      <c r="G205" s="394"/>
      <c r="H205" s="394"/>
      <c r="I205" s="392"/>
      <c r="J205" s="392"/>
    </row>
    <row r="206" spans="1:10" s="365" customFormat="1" x14ac:dyDescent="0.25">
      <c r="B206" s="398">
        <v>2006</v>
      </c>
      <c r="C206" s="399">
        <f>D$190</f>
        <v>35</v>
      </c>
      <c r="D206" s="400">
        <f>($D$140*0.5)/$C206</f>
        <v>58.758320389090201</v>
      </c>
      <c r="E206" s="400">
        <f>IF($C206&gt;E$199,$D$140/$C206,IF($C206&lt;=E$199,$D$140-SUM($D206:D206),0))</f>
        <v>117.5166407781804</v>
      </c>
      <c r="F206" s="400">
        <f>IF($C206&gt;F$199,$D$140/$C206,IF($C206&lt;=F$199,$D$140-SUM($D206:E206),0))</f>
        <v>117.5166407781804</v>
      </c>
      <c r="G206" s="394"/>
      <c r="H206" s="394"/>
      <c r="I206" s="401"/>
      <c r="J206" s="401"/>
    </row>
    <row r="207" spans="1:10" s="365" customFormat="1" x14ac:dyDescent="0.25">
      <c r="B207" s="398">
        <v>2007</v>
      </c>
      <c r="C207" s="399">
        <f>E$190</f>
        <v>35</v>
      </c>
      <c r="D207" s="400"/>
      <c r="E207" s="400">
        <f>($E$140*0.5)/$C207</f>
        <v>54.303128075455163</v>
      </c>
      <c r="F207" s="400">
        <f>IF($C207&gt;F$200,$E$140/$C207,IF($C207&lt;=F$200,$E$140-SUM($D207:E207),0))</f>
        <v>108.60625615091033</v>
      </c>
      <c r="G207" s="394"/>
      <c r="H207" s="394"/>
      <c r="I207" s="401"/>
      <c r="J207" s="401"/>
    </row>
    <row r="208" spans="1:10" s="365" customFormat="1" x14ac:dyDescent="0.25">
      <c r="B208" s="398">
        <v>2008</v>
      </c>
      <c r="C208" s="399">
        <f>F$190</f>
        <v>35</v>
      </c>
      <c r="D208" s="400"/>
      <c r="E208" s="400"/>
      <c r="F208" s="400">
        <f>($F$140*0.5)/$C208</f>
        <v>66.509429223368826</v>
      </c>
      <c r="G208" s="394"/>
      <c r="H208" s="394"/>
      <c r="I208" s="401"/>
      <c r="J208" s="401"/>
    </row>
    <row r="209" spans="1:10" s="365" customFormat="1" x14ac:dyDescent="0.25">
      <c r="B209" s="398"/>
      <c r="C209" s="399"/>
      <c r="D209" s="402"/>
      <c r="E209" s="402"/>
      <c r="F209" s="402"/>
      <c r="G209" s="394"/>
      <c r="H209" s="394"/>
      <c r="I209" s="401"/>
      <c r="J209" s="401"/>
    </row>
    <row r="210" spans="1:10" s="365" customFormat="1" x14ac:dyDescent="0.25">
      <c r="B210" s="398"/>
      <c r="C210" s="399"/>
      <c r="D210" s="402"/>
      <c r="E210" s="402"/>
      <c r="F210" s="402"/>
      <c r="G210" s="394"/>
      <c r="H210" s="394"/>
      <c r="I210" s="395"/>
      <c r="J210" s="401"/>
    </row>
    <row r="211" spans="1:10" s="365" customFormat="1" x14ac:dyDescent="0.25">
      <c r="D211" s="403">
        <f>SUM(D206:D210)</f>
        <v>58.758320389090201</v>
      </c>
      <c r="E211" s="403">
        <f>SUM(E206:E210)</f>
        <v>171.81976885363557</v>
      </c>
      <c r="F211" s="403">
        <f>SUM(F206:F210)</f>
        <v>292.63232615245954</v>
      </c>
      <c r="G211" s="394"/>
      <c r="H211" s="394"/>
      <c r="I211" s="401"/>
      <c r="J211" s="401"/>
    </row>
    <row r="212" spans="1:10" s="365" customFormat="1" x14ac:dyDescent="0.25">
      <c r="D212" s="401"/>
      <c r="E212" s="401"/>
      <c r="F212" s="401"/>
      <c r="G212" s="394"/>
      <c r="H212" s="394"/>
      <c r="I212" s="395"/>
      <c r="J212" s="395"/>
    </row>
    <row r="213" spans="1:10" s="365" customFormat="1" x14ac:dyDescent="0.25">
      <c r="A213" s="393" t="s">
        <v>175</v>
      </c>
      <c r="C213" s="365" t="s">
        <v>182</v>
      </c>
      <c r="D213" s="397">
        <v>2006</v>
      </c>
      <c r="E213" s="397">
        <v>2007</v>
      </c>
      <c r="F213" s="397">
        <v>2008</v>
      </c>
      <c r="G213" s="394"/>
      <c r="H213" s="394"/>
      <c r="I213" s="392"/>
      <c r="J213" s="392"/>
    </row>
    <row r="214" spans="1:10" s="365" customFormat="1" x14ac:dyDescent="0.25">
      <c r="B214" s="398">
        <v>2006</v>
      </c>
      <c r="C214" s="399">
        <f>D$191</f>
        <v>10</v>
      </c>
      <c r="D214" s="400">
        <f>(($D$150-$D$151)*0.5)/$C214</f>
        <v>61.007004005340448</v>
      </c>
      <c r="E214" s="400">
        <f>IF($C214&gt;E$199,($D$150-$D$151)/$C214,IF($C214&lt;=E$199,($D$150-$D$151)-SUM($D214:D214),0))</f>
        <v>122.0140080106809</v>
      </c>
      <c r="F214" s="400">
        <f>IF($C214&gt;F$199,($D$150-$D$151)/$C214,IF($C214&lt;=F$199,($D$150-$D$151)-SUM($D214:E214),0))</f>
        <v>122.0140080106809</v>
      </c>
      <c r="G214" s="394"/>
      <c r="H214" s="394"/>
      <c r="I214" s="401"/>
      <c r="J214" s="401"/>
    </row>
    <row r="215" spans="1:10" s="365" customFormat="1" x14ac:dyDescent="0.25">
      <c r="B215" s="398">
        <v>2007</v>
      </c>
      <c r="C215" s="399">
        <f>E$191</f>
        <v>10</v>
      </c>
      <c r="D215" s="400"/>
      <c r="E215" s="400">
        <f>(($E$150-$E$151)*0.5)/$C215</f>
        <v>156.29613361918763</v>
      </c>
      <c r="F215" s="400">
        <f>IF($C215&gt;F$200,($E$150-$E$151)/$C215,IF($C215&lt;=F$200,($E$150-$E$151)-SUM($D215:E215),0))</f>
        <v>312.59226723837526</v>
      </c>
      <c r="G215" s="394"/>
      <c r="H215" s="394"/>
      <c r="I215" s="401"/>
      <c r="J215" s="401"/>
    </row>
    <row r="216" spans="1:10" s="365" customFormat="1" x14ac:dyDescent="0.25">
      <c r="B216" s="398">
        <v>2008</v>
      </c>
      <c r="C216" s="399">
        <f>F$191</f>
        <v>10</v>
      </c>
      <c r="D216" s="400"/>
      <c r="E216" s="400"/>
      <c r="F216" s="400">
        <f>(($F$150-$F$151)*0.5)/$C216</f>
        <v>203.9642023320487</v>
      </c>
      <c r="G216" s="394"/>
      <c r="H216" s="394"/>
      <c r="I216" s="401"/>
      <c r="J216" s="401"/>
    </row>
    <row r="217" spans="1:10" s="365" customFormat="1" x14ac:dyDescent="0.25">
      <c r="B217" s="398"/>
      <c r="C217" s="399"/>
      <c r="D217" s="402"/>
      <c r="E217" s="402"/>
      <c r="F217" s="402"/>
      <c r="G217" s="394"/>
      <c r="H217" s="394"/>
      <c r="I217" s="401"/>
      <c r="J217" s="401"/>
    </row>
    <row r="218" spans="1:10" s="365" customFormat="1" x14ac:dyDescent="0.25">
      <c r="B218" s="398"/>
      <c r="C218" s="399"/>
      <c r="D218" s="402"/>
      <c r="E218" s="402"/>
      <c r="F218" s="402"/>
      <c r="G218" s="394"/>
      <c r="H218" s="394"/>
      <c r="I218" s="395"/>
      <c r="J218" s="401"/>
    </row>
    <row r="219" spans="1:10" s="365" customFormat="1" x14ac:dyDescent="0.25">
      <c r="D219" s="403">
        <f>SUM(D214:D218)</f>
        <v>61.007004005340448</v>
      </c>
      <c r="E219" s="403">
        <f>SUM(E214:E218)</f>
        <v>278.31014162986855</v>
      </c>
      <c r="F219" s="403">
        <f>SUM(F214:F218)</f>
        <v>638.5704775811048</v>
      </c>
      <c r="G219" s="394"/>
      <c r="H219" s="394"/>
      <c r="I219" s="401"/>
      <c r="J219" s="401"/>
    </row>
    <row r="220" spans="1:10" s="365" customFormat="1" x14ac:dyDescent="0.25">
      <c r="G220" s="394"/>
      <c r="H220" s="394"/>
      <c r="I220" s="395"/>
      <c r="J220" s="395"/>
    </row>
    <row r="221" spans="1:10" s="365" customFormat="1" x14ac:dyDescent="0.25">
      <c r="A221" s="380" t="s">
        <v>90</v>
      </c>
      <c r="C221" s="365" t="s">
        <v>182</v>
      </c>
      <c r="D221" s="397">
        <v>2006</v>
      </c>
      <c r="E221" s="397">
        <v>2007</v>
      </c>
      <c r="F221" s="397">
        <v>2008</v>
      </c>
      <c r="G221" s="394"/>
      <c r="H221" s="394"/>
      <c r="I221" s="392"/>
      <c r="J221" s="392"/>
    </row>
    <row r="222" spans="1:10" s="365" customFormat="1" x14ac:dyDescent="0.25">
      <c r="B222" s="398">
        <v>2006</v>
      </c>
      <c r="C222" s="399">
        <f>D$192</f>
        <v>5</v>
      </c>
      <c r="D222" s="400">
        <f>($D$127*0.5)/$C222</f>
        <v>239.88705260347123</v>
      </c>
      <c r="E222" s="400">
        <f>IF($C222&gt;E$199,$D$127/$C222,IF($C222&lt;=E$199,$D$127-SUM($D222:D222),0))</f>
        <v>479.77410520694247</v>
      </c>
      <c r="F222" s="400">
        <f>IF($C222&gt;F$199,$D$127/$C222,IF($C222&lt;=F$199,$D$127-SUM($D222:E222),0))</f>
        <v>479.77410520694247</v>
      </c>
      <c r="G222" s="394"/>
      <c r="H222" s="394"/>
      <c r="I222" s="401"/>
      <c r="J222" s="401"/>
    </row>
    <row r="223" spans="1:10" s="365" customFormat="1" x14ac:dyDescent="0.25">
      <c r="B223" s="398">
        <v>2007</v>
      </c>
      <c r="C223" s="399">
        <f>E$192</f>
        <v>5</v>
      </c>
      <c r="D223" s="400"/>
      <c r="E223" s="400">
        <f>($E$127*0.5)/$C223</f>
        <v>6.4866075786767396</v>
      </c>
      <c r="F223" s="400">
        <f>IF($C223&gt;F$200,$E$127/$C223,IF($C223&lt;=F$200,$E$127-SUM($D223:E223),0))</f>
        <v>12.973215157353479</v>
      </c>
      <c r="G223" s="394"/>
      <c r="H223" s="394"/>
      <c r="I223" s="401"/>
      <c r="J223" s="401"/>
    </row>
    <row r="224" spans="1:10" s="365" customFormat="1" x14ac:dyDescent="0.25">
      <c r="B224" s="398">
        <v>2008</v>
      </c>
      <c r="C224" s="399">
        <f>F$192</f>
        <v>5</v>
      </c>
      <c r="D224" s="400"/>
      <c r="E224" s="400"/>
      <c r="F224" s="400">
        <f>($F$127*0.5)/$C224</f>
        <v>11.16406790000001</v>
      </c>
      <c r="G224" s="394"/>
      <c r="H224" s="394"/>
      <c r="I224" s="401"/>
      <c r="J224" s="401"/>
    </row>
    <row r="225" spans="1:10" s="365" customFormat="1" x14ac:dyDescent="0.25">
      <c r="B225" s="398"/>
      <c r="C225" s="399"/>
      <c r="D225" s="402"/>
      <c r="E225" s="402"/>
      <c r="F225" s="402"/>
      <c r="G225" s="394"/>
      <c r="H225" s="394"/>
      <c r="I225" s="401"/>
      <c r="J225" s="401"/>
    </row>
    <row r="226" spans="1:10" s="365" customFormat="1" x14ac:dyDescent="0.25">
      <c r="B226" s="398"/>
      <c r="C226" s="399"/>
      <c r="D226" s="402"/>
      <c r="E226" s="402"/>
      <c r="F226" s="402"/>
      <c r="G226" s="394"/>
      <c r="H226" s="394"/>
      <c r="I226" s="395"/>
      <c r="J226" s="401"/>
    </row>
    <row r="227" spans="1:10" s="365" customFormat="1" x14ac:dyDescent="0.25">
      <c r="D227" s="403">
        <f>SUM(D222:D226)</f>
        <v>239.88705260347123</v>
      </c>
      <c r="E227" s="403">
        <f>SUM(E222:E226)</f>
        <v>486.26071278561921</v>
      </c>
      <c r="F227" s="403">
        <f>SUM(F222:F226)</f>
        <v>503.91138826429597</v>
      </c>
      <c r="G227" s="394"/>
      <c r="H227" s="394"/>
      <c r="I227" s="401"/>
      <c r="J227" s="401"/>
    </row>
    <row r="228" spans="1:10" s="365" customFormat="1" x14ac:dyDescent="0.25">
      <c r="G228" s="394"/>
      <c r="H228" s="394"/>
      <c r="I228" s="395"/>
      <c r="J228" s="395"/>
    </row>
    <row r="229" spans="1:10" s="365" customFormat="1" x14ac:dyDescent="0.25">
      <c r="A229" s="380" t="s">
        <v>167</v>
      </c>
      <c r="C229" s="365" t="s">
        <v>182</v>
      </c>
      <c r="D229" s="397">
        <v>2006</v>
      </c>
      <c r="E229" s="397">
        <v>2007</v>
      </c>
      <c r="F229" s="397">
        <v>2008</v>
      </c>
      <c r="G229" s="394"/>
      <c r="H229" s="394"/>
      <c r="I229" s="392"/>
      <c r="J229" s="392"/>
    </row>
    <row r="230" spans="1:10" s="365" customFormat="1" x14ac:dyDescent="0.25">
      <c r="B230" s="398">
        <v>2006</v>
      </c>
      <c r="C230" s="399">
        <f>D$193</f>
        <v>5</v>
      </c>
      <c r="D230" s="400">
        <f>($D$128*0.5)/$C230</f>
        <v>23.533889586114817</v>
      </c>
      <c r="E230" s="400">
        <f>IF($C230&gt;E$199,$D$128/$C230,IF($C230&lt;=E$199,$D$128-SUM($D230:D230),0))</f>
        <v>47.067779172229635</v>
      </c>
      <c r="F230" s="400">
        <f>IF($C230&gt;F$199,$D$128/$C230,IF($C230&lt;=F$199,$D$128-SUM($D230:E230),0))</f>
        <v>47.067779172229635</v>
      </c>
      <c r="G230" s="394"/>
      <c r="H230" s="394"/>
      <c r="I230" s="401"/>
      <c r="J230" s="401"/>
    </row>
    <row r="231" spans="1:10" s="365" customFormat="1" x14ac:dyDescent="0.25">
      <c r="B231" s="398">
        <v>2007</v>
      </c>
      <c r="C231" s="399">
        <f>E$193</f>
        <v>5</v>
      </c>
      <c r="D231" s="400"/>
      <c r="E231" s="400">
        <f>($E$128*0.5)/$C231</f>
        <v>11.674801784610018</v>
      </c>
      <c r="F231" s="400">
        <f>IF($C231&gt;F$200,$E$128/$C231,IF($C231&lt;=F$200,$E$128-SUM($D231:E231),0))</f>
        <v>23.349603569220037</v>
      </c>
      <c r="G231" s="394"/>
      <c r="H231" s="394"/>
      <c r="I231" s="401"/>
      <c r="J231" s="401"/>
    </row>
    <row r="232" spans="1:10" s="365" customFormat="1" x14ac:dyDescent="0.25">
      <c r="B232" s="398">
        <v>2008</v>
      </c>
      <c r="C232" s="399">
        <f>F$193</f>
        <v>5</v>
      </c>
      <c r="D232" s="400"/>
      <c r="E232" s="400"/>
      <c r="F232" s="400">
        <f>($F$128*0.5)/$C232</f>
        <v>0</v>
      </c>
      <c r="G232" s="394"/>
      <c r="H232" s="394"/>
      <c r="I232" s="401"/>
      <c r="J232" s="401"/>
    </row>
    <row r="233" spans="1:10" s="365" customFormat="1" x14ac:dyDescent="0.25">
      <c r="B233" s="398"/>
      <c r="C233" s="399"/>
      <c r="D233" s="402"/>
      <c r="E233" s="402"/>
      <c r="F233" s="402"/>
      <c r="G233" s="394"/>
      <c r="H233" s="394"/>
      <c r="I233" s="401"/>
      <c r="J233" s="401"/>
    </row>
    <row r="234" spans="1:10" s="365" customFormat="1" x14ac:dyDescent="0.25">
      <c r="B234" s="398"/>
      <c r="C234" s="399"/>
      <c r="D234" s="402"/>
      <c r="E234" s="402"/>
      <c r="F234" s="402"/>
      <c r="G234" s="394"/>
      <c r="H234" s="394"/>
      <c r="I234" s="395"/>
      <c r="J234" s="401"/>
    </row>
    <row r="235" spans="1:10" s="365" customFormat="1" x14ac:dyDescent="0.25">
      <c r="D235" s="403">
        <f>SUM(D230:D234)</f>
        <v>23.533889586114817</v>
      </c>
      <c r="E235" s="403">
        <f>SUM(E230:E234)</f>
        <v>58.742580956839653</v>
      </c>
      <c r="F235" s="403">
        <f>SUM(F230:F234)</f>
        <v>70.417382741449671</v>
      </c>
      <c r="G235" s="394"/>
      <c r="H235" s="394"/>
      <c r="I235" s="401"/>
      <c r="J235" s="401"/>
    </row>
    <row r="236" spans="1:10" s="279" customFormat="1" x14ac:dyDescent="0.25">
      <c r="G236" s="394"/>
      <c r="H236" s="394"/>
      <c r="I236" s="280"/>
      <c r="J236" s="280"/>
    </row>
    <row r="237" spans="1:10" s="279" customFormat="1" x14ac:dyDescent="0.25">
      <c r="A237" s="354"/>
      <c r="B237" s="354"/>
      <c r="C237" s="354"/>
      <c r="D237" s="354"/>
      <c r="E237" s="354"/>
      <c r="F237" s="354"/>
      <c r="G237" s="394"/>
      <c r="H237" s="394"/>
      <c r="I237" s="280"/>
      <c r="J237" s="280"/>
    </row>
    <row r="238" spans="1:10" s="279" customFormat="1" x14ac:dyDescent="0.25">
      <c r="G238" s="394"/>
      <c r="H238" s="394"/>
      <c r="I238" s="280"/>
      <c r="J238" s="280"/>
    </row>
    <row r="239" spans="1:10" s="279" customFormat="1" x14ac:dyDescent="0.25">
      <c r="I239" s="280"/>
      <c r="J239" s="280"/>
    </row>
    <row r="240" spans="1:10" x14ac:dyDescent="0.25">
      <c r="A240" s="344" t="s">
        <v>183</v>
      </c>
      <c r="I240" s="280"/>
      <c r="J240" s="280"/>
    </row>
    <row r="241" spans="1:10" x14ac:dyDescent="0.25">
      <c r="A241" s="268" t="s">
        <v>184</v>
      </c>
      <c r="B241" s="346"/>
      <c r="C241" s="346"/>
      <c r="D241" s="348">
        <v>2006</v>
      </c>
      <c r="E241" s="348">
        <v>2007</v>
      </c>
      <c r="F241" s="348">
        <v>2008</v>
      </c>
      <c r="G241" s="280"/>
      <c r="H241" s="280"/>
      <c r="I241" s="267"/>
      <c r="J241" s="267"/>
    </row>
    <row r="242" spans="1:10" x14ac:dyDescent="0.25">
      <c r="A242" s="344" t="s">
        <v>185</v>
      </c>
      <c r="G242" s="280"/>
      <c r="H242" s="280"/>
      <c r="I242" s="280"/>
      <c r="J242" s="280"/>
    </row>
    <row r="243" spans="1:10" s="126" customFormat="1" ht="26.4" x14ac:dyDescent="0.25">
      <c r="A243" s="133" t="s">
        <v>186</v>
      </c>
      <c r="D243" s="414" t="s">
        <v>187</v>
      </c>
      <c r="E243" s="252"/>
      <c r="I243" s="157"/>
      <c r="J243" s="157"/>
    </row>
    <row r="244" spans="1:10" x14ac:dyDescent="0.25">
      <c r="A244" s="346" t="s">
        <v>188</v>
      </c>
      <c r="C244" s="404"/>
      <c r="D244" s="404"/>
      <c r="E244" s="404"/>
      <c r="G244" s="280"/>
      <c r="H244" s="280"/>
      <c r="I244" s="280"/>
      <c r="J244" s="280"/>
    </row>
    <row r="245" spans="1:10" x14ac:dyDescent="0.25">
      <c r="A245" s="57" t="s">
        <v>49</v>
      </c>
      <c r="D245" s="411">
        <f>'Data 2006-08'!C176</f>
        <v>0.375</v>
      </c>
      <c r="F245" s="374"/>
      <c r="G245" s="280"/>
      <c r="H245" s="280"/>
      <c r="I245" s="280"/>
      <c r="J245" s="280"/>
    </row>
    <row r="246" spans="1:10" x14ac:dyDescent="0.25">
      <c r="A246" s="57" t="s">
        <v>50</v>
      </c>
      <c r="D246" s="412">
        <f>'Data 2006-08'!C177</f>
        <v>0.06</v>
      </c>
      <c r="F246" s="374"/>
      <c r="G246" s="280"/>
      <c r="H246" s="280"/>
      <c r="I246" s="280"/>
      <c r="J246" s="280"/>
    </row>
    <row r="247" spans="1:10" x14ac:dyDescent="0.25">
      <c r="A247" s="57" t="s">
        <v>90</v>
      </c>
      <c r="D247" s="412">
        <f>'Data 2006-08'!C178</f>
        <v>0.4</v>
      </c>
      <c r="F247" s="374"/>
      <c r="G247" s="280"/>
      <c r="H247" s="280"/>
      <c r="I247" s="280"/>
      <c r="J247" s="280"/>
    </row>
    <row r="248" spans="1:10" x14ac:dyDescent="0.25">
      <c r="A248" s="347" t="s">
        <v>91</v>
      </c>
      <c r="D248" s="413">
        <f>'Data 2006-08'!C179</f>
        <v>0.1764705882352941</v>
      </c>
      <c r="F248" s="374"/>
      <c r="G248" s="280"/>
      <c r="H248" s="280"/>
      <c r="I248" s="280"/>
      <c r="J248" s="280"/>
    </row>
    <row r="249" spans="1:10" s="279" customFormat="1" x14ac:dyDescent="0.25">
      <c r="D249" s="405"/>
      <c r="G249" s="280"/>
      <c r="H249" s="280"/>
      <c r="I249" s="280"/>
      <c r="J249" s="280"/>
    </row>
    <row r="250" spans="1:10" s="279" customFormat="1" x14ac:dyDescent="0.25">
      <c r="D250" s="405"/>
      <c r="G250" s="280"/>
      <c r="H250" s="280"/>
      <c r="I250" s="280"/>
      <c r="J250" s="280"/>
    </row>
    <row r="251" spans="1:10" s="280" customFormat="1" x14ac:dyDescent="0.25">
      <c r="A251" s="267" t="s">
        <v>198</v>
      </c>
    </row>
    <row r="252" spans="1:10" s="279" customFormat="1" x14ac:dyDescent="0.25">
      <c r="A252" s="270" t="s">
        <v>49</v>
      </c>
      <c r="B252" s="280"/>
      <c r="C252" s="280"/>
      <c r="D252" s="280"/>
      <c r="E252" s="280"/>
      <c r="F252" s="280"/>
      <c r="G252" s="280"/>
      <c r="H252" s="280"/>
      <c r="I252" s="280"/>
      <c r="J252" s="280"/>
    </row>
    <row r="253" spans="1:10" s="279" customFormat="1" x14ac:dyDescent="0.25">
      <c r="A253" s="279" t="s">
        <v>353</v>
      </c>
      <c r="B253" s="280"/>
      <c r="C253" s="280"/>
      <c r="D253" s="290">
        <v>0</v>
      </c>
      <c r="E253" s="275">
        <f>D256</f>
        <v>4092.8111249999997</v>
      </c>
      <c r="F253" s="275">
        <f>E256</f>
        <v>8083.3960565293846</v>
      </c>
      <c r="G253" s="280"/>
      <c r="H253" s="280"/>
      <c r="I253" s="275"/>
      <c r="J253" s="275"/>
    </row>
    <row r="254" spans="1:10" s="279" customFormat="1" x14ac:dyDescent="0.25">
      <c r="A254" s="279" t="s">
        <v>176</v>
      </c>
      <c r="B254" s="280"/>
      <c r="C254" s="280"/>
      <c r="D254" s="275">
        <f>$D$245*(D253+D255*0.5)</f>
        <v>944.49487499999987</v>
      </c>
      <c r="E254" s="275">
        <f>$D$245*(E253+E255*0.5)</f>
        <v>2809.8939649683193</v>
      </c>
      <c r="F254" s="275">
        <f>$D$245*(F253+F255*0.5)</f>
        <v>4669.0755385004177</v>
      </c>
      <c r="G254" s="280"/>
      <c r="H254" s="280"/>
      <c r="I254" s="275"/>
      <c r="J254" s="275"/>
    </row>
    <row r="255" spans="1:10" s="279" customFormat="1" x14ac:dyDescent="0.25">
      <c r="A255" s="279" t="s">
        <v>200</v>
      </c>
      <c r="B255" s="280"/>
      <c r="C255" s="280"/>
      <c r="D255" s="275">
        <f>'Data 2006-08'!D19/10^3</f>
        <v>5037.3059999999996</v>
      </c>
      <c r="E255" s="275">
        <f>'Data 2006-08'!E19/10^3</f>
        <v>6800.4788964977042</v>
      </c>
      <c r="F255" s="275">
        <f>'Data 2006-08'!F19/10^3</f>
        <v>8734.9440922767917</v>
      </c>
      <c r="G255" s="280"/>
      <c r="H255" s="280"/>
      <c r="I255" s="275"/>
      <c r="J255" s="275"/>
    </row>
    <row r="256" spans="1:10" s="279" customFormat="1" x14ac:dyDescent="0.25">
      <c r="A256" s="279" t="s">
        <v>201</v>
      </c>
      <c r="B256" s="280"/>
      <c r="C256" s="280"/>
      <c r="D256" s="381">
        <f>D253-D254+D255</f>
        <v>4092.8111249999997</v>
      </c>
      <c r="E256" s="381">
        <f>E253-E254+E255</f>
        <v>8083.3960565293846</v>
      </c>
      <c r="F256" s="381">
        <f>F253-F254+F255</f>
        <v>12149.26461030576</v>
      </c>
      <c r="G256" s="280"/>
      <c r="H256" s="280"/>
      <c r="I256" s="275"/>
      <c r="J256" s="275"/>
    </row>
    <row r="257" spans="1:10" s="279" customFormat="1" x14ac:dyDescent="0.25">
      <c r="A257" s="280"/>
      <c r="B257" s="280"/>
      <c r="C257" s="280"/>
      <c r="G257" s="280"/>
      <c r="H257" s="280"/>
      <c r="I257" s="280"/>
      <c r="J257" s="280"/>
    </row>
    <row r="258" spans="1:10" s="279" customFormat="1" x14ac:dyDescent="0.25">
      <c r="A258" s="270" t="s">
        <v>50</v>
      </c>
      <c r="B258" s="280"/>
      <c r="C258" s="280"/>
      <c r="D258" s="280"/>
      <c r="E258" s="280"/>
      <c r="F258" s="280"/>
      <c r="G258" s="280"/>
      <c r="H258" s="280"/>
      <c r="I258" s="280"/>
      <c r="J258" s="280"/>
    </row>
    <row r="259" spans="1:10" s="279" customFormat="1" x14ac:dyDescent="0.25">
      <c r="A259" s="279" t="str">
        <f>A$253</f>
        <v>Opening asset value</v>
      </c>
      <c r="B259" s="280"/>
      <c r="C259" s="280"/>
      <c r="D259" s="290">
        <v>0</v>
      </c>
      <c r="E259" s="275">
        <f>D262</f>
        <v>0</v>
      </c>
      <c r="F259" s="275">
        <f>E262</f>
        <v>0</v>
      </c>
      <c r="G259" s="280"/>
      <c r="H259" s="280"/>
      <c r="I259" s="275"/>
      <c r="J259" s="275"/>
    </row>
    <row r="260" spans="1:10" s="279" customFormat="1" x14ac:dyDescent="0.25">
      <c r="A260" s="279" t="str">
        <f>A$254</f>
        <v>Depreciation</v>
      </c>
      <c r="B260" s="280"/>
      <c r="C260" s="280"/>
      <c r="D260" s="275">
        <f>$D$246*(D259+D261*0.5)</f>
        <v>0</v>
      </c>
      <c r="E260" s="275">
        <f>$D$246*(E259+E261*0.5)</f>
        <v>0</v>
      </c>
      <c r="F260" s="275">
        <f>$D$246*(F259+F261*0.5)</f>
        <v>0</v>
      </c>
      <c r="G260" s="280"/>
      <c r="H260" s="280"/>
      <c r="I260" s="275"/>
      <c r="J260" s="275"/>
    </row>
    <row r="261" spans="1:10" s="279" customFormat="1" x14ac:dyDescent="0.25">
      <c r="A261" s="279" t="str">
        <f>A$255</f>
        <v>Gross capex</v>
      </c>
      <c r="B261" s="280"/>
      <c r="C261" s="280"/>
      <c r="D261" s="275">
        <f>'Data 2006-08'!D20/10^3</f>
        <v>0</v>
      </c>
      <c r="E261" s="275">
        <f>'Data 2006-08'!E20/10^3</f>
        <v>0</v>
      </c>
      <c r="F261" s="275">
        <f>'Data 2006-08'!F20/10^3</f>
        <v>0</v>
      </c>
      <c r="G261" s="280"/>
      <c r="H261" s="280"/>
      <c r="I261" s="275"/>
      <c r="J261" s="275"/>
    </row>
    <row r="262" spans="1:10" s="279" customFormat="1" x14ac:dyDescent="0.25">
      <c r="A262" s="279" t="str">
        <f>A$256</f>
        <v>Closing asset value</v>
      </c>
      <c r="B262" s="280"/>
      <c r="C262" s="280"/>
      <c r="D262" s="381">
        <f>D259-D260+D261</f>
        <v>0</v>
      </c>
      <c r="E262" s="381">
        <f>E259-E260+E261</f>
        <v>0</v>
      </c>
      <c r="F262" s="381">
        <f>F259-F260+F261</f>
        <v>0</v>
      </c>
      <c r="G262" s="280"/>
      <c r="H262" s="280"/>
      <c r="I262" s="275"/>
      <c r="J262" s="275"/>
    </row>
    <row r="263" spans="1:10" s="279" customFormat="1" x14ac:dyDescent="0.25">
      <c r="A263" s="280"/>
      <c r="B263" s="280"/>
      <c r="C263" s="280"/>
      <c r="D263" s="275"/>
      <c r="E263" s="275"/>
      <c r="F263" s="275"/>
      <c r="G263" s="280"/>
      <c r="H263" s="280"/>
      <c r="I263" s="275"/>
      <c r="J263" s="275"/>
    </row>
    <row r="264" spans="1:10" s="279" customFormat="1" x14ac:dyDescent="0.25">
      <c r="A264" s="270" t="s">
        <v>90</v>
      </c>
      <c r="G264" s="280"/>
      <c r="H264" s="280"/>
      <c r="I264" s="280"/>
      <c r="J264" s="280"/>
    </row>
    <row r="265" spans="1:10" s="279" customFormat="1" x14ac:dyDescent="0.25">
      <c r="A265" s="279" t="str">
        <f>A$253</f>
        <v>Opening asset value</v>
      </c>
      <c r="B265" s="280"/>
      <c r="C265" s="280"/>
      <c r="D265" s="290">
        <v>0</v>
      </c>
      <c r="E265" s="275">
        <f>D268</f>
        <v>1812.6143999999999</v>
      </c>
      <c r="F265" s="275">
        <f>E268</f>
        <v>1138.5126399999983</v>
      </c>
      <c r="G265" s="280"/>
      <c r="H265" s="280"/>
      <c r="I265" s="275"/>
      <c r="J265" s="275"/>
    </row>
    <row r="266" spans="1:10" s="279" customFormat="1" x14ac:dyDescent="0.25">
      <c r="A266" s="279" t="str">
        <f>A$254</f>
        <v>Depreciation</v>
      </c>
      <c r="B266" s="280"/>
      <c r="C266" s="280"/>
      <c r="D266" s="275">
        <f>$D$247*(D265+D267*0.5)</f>
        <v>453.15360000000004</v>
      </c>
      <c r="E266" s="275">
        <f>$D$247*(E265+E267*0.5)</f>
        <v>737.78175999999962</v>
      </c>
      <c r="F266" s="275">
        <f>$D$247*(F265+F267*0.5)</f>
        <v>477.73319179999936</v>
      </c>
      <c r="G266" s="280"/>
      <c r="H266" s="280"/>
      <c r="I266" s="275"/>
      <c r="J266" s="275"/>
    </row>
    <row r="267" spans="1:10" s="279" customFormat="1" x14ac:dyDescent="0.25">
      <c r="A267" s="279" t="str">
        <f>A$255</f>
        <v>Gross capex</v>
      </c>
      <c r="B267" s="280"/>
      <c r="C267" s="280"/>
      <c r="D267" s="275">
        <f>'Data 2006-08'!D21/10^3</f>
        <v>2265.768</v>
      </c>
      <c r="E267" s="275">
        <f>'Data 2006-08'!E21/10^3</f>
        <v>63.679999999997996</v>
      </c>
      <c r="F267" s="275">
        <f>'Data 2006-08'!F21/10^3</f>
        <v>111.64067900000009</v>
      </c>
      <c r="G267" s="280"/>
      <c r="H267" s="280"/>
      <c r="I267" s="275"/>
      <c r="J267" s="275"/>
    </row>
    <row r="268" spans="1:10" s="279" customFormat="1" x14ac:dyDescent="0.25">
      <c r="A268" s="279" t="str">
        <f>A$256</f>
        <v>Closing asset value</v>
      </c>
      <c r="B268" s="280"/>
      <c r="C268" s="280"/>
      <c r="D268" s="381">
        <f>D265-D266+D267</f>
        <v>1812.6143999999999</v>
      </c>
      <c r="E268" s="381">
        <f>E265-E266+E267</f>
        <v>1138.5126399999983</v>
      </c>
      <c r="F268" s="381">
        <f>F265-F266+F267</f>
        <v>772.42012719999911</v>
      </c>
      <c r="G268" s="280"/>
      <c r="H268" s="280"/>
      <c r="I268" s="275"/>
      <c r="J268" s="275"/>
    </row>
    <row r="269" spans="1:10" s="279" customFormat="1" x14ac:dyDescent="0.25">
      <c r="A269" s="280"/>
      <c r="B269" s="280"/>
      <c r="C269" s="280"/>
      <c r="D269" s="275"/>
      <c r="E269" s="275"/>
      <c r="F269" s="275"/>
      <c r="G269" s="280"/>
      <c r="H269" s="280"/>
      <c r="I269" s="275"/>
      <c r="J269" s="275"/>
    </row>
    <row r="270" spans="1:10" s="279" customFormat="1" x14ac:dyDescent="0.25">
      <c r="A270" s="270" t="s">
        <v>91</v>
      </c>
      <c r="G270" s="280"/>
      <c r="H270" s="280"/>
      <c r="I270" s="280"/>
      <c r="J270" s="280"/>
    </row>
    <row r="271" spans="1:10" s="279" customFormat="1" x14ac:dyDescent="0.25">
      <c r="A271" s="279" t="str">
        <f>A$253</f>
        <v>Opening asset value</v>
      </c>
      <c r="B271" s="280"/>
      <c r="C271" s="280"/>
      <c r="D271" s="290">
        <v>0</v>
      </c>
      <c r="E271" s="275">
        <f>D274</f>
        <v>202.66797058823531</v>
      </c>
      <c r="F271" s="275">
        <f>E274</f>
        <v>271.40337911245587</v>
      </c>
      <c r="G271" s="280"/>
      <c r="H271" s="280"/>
      <c r="I271" s="275"/>
      <c r="J271" s="275"/>
    </row>
    <row r="272" spans="1:10" s="279" customFormat="1" x14ac:dyDescent="0.25">
      <c r="A272" s="279" t="str">
        <f>A$254</f>
        <v>Depreciation</v>
      </c>
      <c r="B272" s="280"/>
      <c r="C272" s="280"/>
      <c r="D272" s="275">
        <f>$D$248*(D271+D273*0.5)</f>
        <v>19.613029411764703</v>
      </c>
      <c r="E272" s="275">
        <f>$D$248*(E271+E273*0.5)</f>
        <v>45.877872551679786</v>
      </c>
      <c r="F272" s="275">
        <f>$D$248*(F271+F273*0.5)</f>
        <v>47.894713961021615</v>
      </c>
      <c r="G272" s="280"/>
      <c r="H272" s="280"/>
      <c r="I272" s="275"/>
      <c r="J272" s="275"/>
    </row>
    <row r="273" spans="1:10" s="279" customFormat="1" x14ac:dyDescent="0.25">
      <c r="A273" s="279" t="str">
        <f>A$255</f>
        <v>Gross capex</v>
      </c>
      <c r="B273" s="280"/>
      <c r="C273" s="280"/>
      <c r="D273" s="275">
        <f>'Data 2006-08'!D22/10^3</f>
        <v>222.28100000000001</v>
      </c>
      <c r="E273" s="275">
        <f>'Data 2006-08'!E22/10^3</f>
        <v>114.61328107590035</v>
      </c>
      <c r="F273" s="275">
        <f>'Data 2006-08'!F22/10^3</f>
        <v>0</v>
      </c>
      <c r="G273" s="280"/>
      <c r="H273" s="280"/>
      <c r="I273" s="275"/>
      <c r="J273" s="275"/>
    </row>
    <row r="274" spans="1:10" s="279" customFormat="1" x14ac:dyDescent="0.25">
      <c r="A274" s="279" t="str">
        <f>A$256</f>
        <v>Closing asset value</v>
      </c>
      <c r="B274" s="280"/>
      <c r="C274" s="280"/>
      <c r="D274" s="381">
        <f>D271-D272+D273</f>
        <v>202.66797058823531</v>
      </c>
      <c r="E274" s="381">
        <f>E271-E272+E273</f>
        <v>271.40337911245587</v>
      </c>
      <c r="F274" s="381">
        <f>F271-F272+F273</f>
        <v>223.50866515143426</v>
      </c>
      <c r="G274" s="280"/>
      <c r="H274" s="280"/>
      <c r="I274" s="275"/>
      <c r="J274" s="275"/>
    </row>
    <row r="275" spans="1:10" s="279" customFormat="1" x14ac:dyDescent="0.25">
      <c r="B275" s="280"/>
      <c r="C275" s="280"/>
      <c r="D275" s="275"/>
      <c r="E275" s="275"/>
      <c r="F275" s="275"/>
      <c r="G275" s="280"/>
      <c r="H275" s="280"/>
      <c r="I275" s="275"/>
      <c r="J275" s="275"/>
    </row>
    <row r="276" spans="1:10" s="279" customFormat="1" x14ac:dyDescent="0.25">
      <c r="A276" s="270" t="s">
        <v>45</v>
      </c>
      <c r="B276" s="275"/>
      <c r="C276" s="275"/>
      <c r="D276" s="275"/>
      <c r="E276" s="275"/>
      <c r="F276" s="275"/>
      <c r="G276" s="280"/>
      <c r="H276" s="280"/>
      <c r="I276" s="275"/>
      <c r="J276" s="275"/>
    </row>
    <row r="277" spans="1:10" s="279" customFormat="1" x14ac:dyDescent="0.25">
      <c r="A277" s="279" t="str">
        <f>A$253</f>
        <v>Opening asset value</v>
      </c>
      <c r="B277" s="275"/>
      <c r="C277" s="275"/>
      <c r="D277" s="275">
        <f t="shared" ref="D277:F280" si="9">SUM(D253,D259,D265,D271)</f>
        <v>0</v>
      </c>
      <c r="E277" s="275">
        <f t="shared" si="9"/>
        <v>6108.0934955882349</v>
      </c>
      <c r="F277" s="275">
        <f t="shared" si="9"/>
        <v>9493.3120756418393</v>
      </c>
      <c r="G277" s="280"/>
      <c r="H277" s="280"/>
      <c r="I277" s="275"/>
      <c r="J277" s="275"/>
    </row>
    <row r="278" spans="1:10" s="279" customFormat="1" x14ac:dyDescent="0.25">
      <c r="A278" s="279" t="str">
        <f>A$254</f>
        <v>Depreciation</v>
      </c>
      <c r="B278" s="275"/>
      <c r="C278" s="275"/>
      <c r="D278" s="275">
        <f t="shared" si="9"/>
        <v>1417.2615044117647</v>
      </c>
      <c r="E278" s="275">
        <f t="shared" si="9"/>
        <v>3593.5535975199987</v>
      </c>
      <c r="F278" s="275">
        <f t="shared" si="9"/>
        <v>5194.7034442614386</v>
      </c>
      <c r="G278" s="280"/>
      <c r="H278" s="280"/>
      <c r="I278" s="275"/>
      <c r="J278" s="275"/>
    </row>
    <row r="279" spans="1:10" s="279" customFormat="1" x14ac:dyDescent="0.25">
      <c r="A279" s="279" t="str">
        <f>A$255</f>
        <v>Gross capex</v>
      </c>
      <c r="B279" s="275"/>
      <c r="C279" s="275"/>
      <c r="D279" s="275">
        <f t="shared" si="9"/>
        <v>7525.3549999999996</v>
      </c>
      <c r="E279" s="275">
        <f t="shared" si="9"/>
        <v>6978.7721775736018</v>
      </c>
      <c r="F279" s="275">
        <f t="shared" si="9"/>
        <v>8846.5847712767918</v>
      </c>
      <c r="G279" s="280"/>
      <c r="H279" s="280"/>
      <c r="I279" s="275"/>
      <c r="J279" s="275"/>
    </row>
    <row r="280" spans="1:10" s="279" customFormat="1" x14ac:dyDescent="0.25">
      <c r="A280" s="279" t="str">
        <f>A$256</f>
        <v>Closing asset value</v>
      </c>
      <c r="D280" s="381">
        <f t="shared" si="9"/>
        <v>6108.0934955882349</v>
      </c>
      <c r="E280" s="381">
        <f t="shared" si="9"/>
        <v>9493.3120756418393</v>
      </c>
      <c r="F280" s="381">
        <f t="shared" si="9"/>
        <v>13145.193402657193</v>
      </c>
      <c r="G280" s="280"/>
      <c r="H280" s="280"/>
      <c r="I280" s="275"/>
      <c r="J280" s="275"/>
    </row>
    <row r="281" spans="1:10" s="279" customFormat="1" x14ac:dyDescent="0.25">
      <c r="A281" s="406"/>
      <c r="C281" s="407"/>
      <c r="D281" s="350"/>
      <c r="E281" s="350"/>
      <c r="F281" s="350"/>
      <c r="G281" s="280"/>
      <c r="H281" s="280"/>
      <c r="I281" s="292"/>
      <c r="J281" s="292"/>
    </row>
    <row r="282" spans="1:10" x14ac:dyDescent="0.25">
      <c r="D282" s="408"/>
      <c r="E282" s="408"/>
      <c r="F282" s="408"/>
      <c r="G282" s="280"/>
      <c r="H282" s="280"/>
      <c r="I282" s="290"/>
      <c r="J282" s="290"/>
    </row>
    <row r="283" spans="1:10" s="356" customFormat="1" x14ac:dyDescent="0.25">
      <c r="A283" s="353"/>
      <c r="B283" s="353"/>
      <c r="C283" s="353"/>
      <c r="D283" s="353"/>
      <c r="E283" s="353"/>
      <c r="F283" s="353"/>
      <c r="G283" s="280"/>
      <c r="H283" s="280"/>
      <c r="I283" s="280"/>
      <c r="J283" s="280"/>
    </row>
    <row r="284" spans="1:10" x14ac:dyDescent="0.25">
      <c r="A284" s="268"/>
      <c r="G284" s="280"/>
      <c r="H284" s="280"/>
      <c r="I284" s="280"/>
      <c r="J284" s="280"/>
    </row>
    <row r="285" spans="1:10" x14ac:dyDescent="0.25">
      <c r="A285" s="268"/>
      <c r="G285" s="280"/>
      <c r="H285" s="280"/>
      <c r="I285" s="280"/>
      <c r="J285" s="280"/>
    </row>
  </sheetData>
  <sheetProtection sheet="1" objects="1" scenarios="1"/>
  <phoneticPr fontId="4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42"/>
  <sheetViews>
    <sheetView zoomScale="85" workbookViewId="0">
      <pane ySplit="1" topLeftCell="A2" activePane="bottomLeft" state="frozen"/>
      <selection pane="bottomLeft" activeCell="B1" sqref="B1"/>
    </sheetView>
  </sheetViews>
  <sheetFormatPr defaultColWidth="9.109375" defaultRowHeight="13.2" x14ac:dyDescent="0.25"/>
  <cols>
    <col min="1" max="1" width="63.109375" style="126" customWidth="1"/>
    <col min="2" max="2" width="10" style="126" customWidth="1"/>
    <col min="3" max="3" width="11.44140625" style="126" customWidth="1"/>
    <col min="4" max="4" width="13.5546875" style="126" customWidth="1"/>
    <col min="5" max="5" width="13.109375" style="126" customWidth="1"/>
    <col min="6" max="6" width="12.88671875" style="126" customWidth="1"/>
    <col min="7" max="7" width="12.6640625" style="126" customWidth="1"/>
    <col min="8" max="8" width="14.44140625" style="126" customWidth="1"/>
    <col min="9" max="9" width="11.5546875" style="126" bestFit="1" customWidth="1"/>
    <col min="10" max="10" width="10" style="126" customWidth="1"/>
    <col min="11" max="11" width="9.109375" style="126"/>
    <col min="12" max="14" width="9.33203125" style="126" bestFit="1" customWidth="1"/>
    <col min="15" max="16" width="10" style="126" customWidth="1"/>
    <col min="17" max="17" width="9.44140625" style="126" bestFit="1" customWidth="1"/>
    <col min="18" max="18" width="9.88671875" style="126" customWidth="1"/>
    <col min="19" max="16384" width="9.109375" style="126"/>
  </cols>
  <sheetData>
    <row r="1" spans="1:10" ht="15.6" x14ac:dyDescent="0.3">
      <c r="A1" s="124" t="s">
        <v>359</v>
      </c>
      <c r="B1" s="125"/>
      <c r="C1" s="125"/>
      <c r="D1" s="125"/>
      <c r="E1" s="125"/>
    </row>
    <row r="2" spans="1:10" ht="15.6" x14ac:dyDescent="0.3">
      <c r="A2" s="127"/>
      <c r="B2" s="125"/>
      <c r="C2" s="125"/>
    </row>
    <row r="3" spans="1:10" ht="15.6" x14ac:dyDescent="0.3">
      <c r="A3" s="128" t="s">
        <v>112</v>
      </c>
      <c r="B3" s="125"/>
      <c r="C3" s="125"/>
    </row>
    <row r="4" spans="1:10" x14ac:dyDescent="0.25">
      <c r="A4" s="129"/>
      <c r="B4" s="130"/>
      <c r="C4" s="130"/>
      <c r="D4" s="131"/>
      <c r="E4" s="131"/>
      <c r="F4" s="131"/>
      <c r="G4" s="131"/>
      <c r="H4" s="131"/>
      <c r="I4" s="131"/>
      <c r="J4" s="131"/>
    </row>
    <row r="5" spans="1:10" x14ac:dyDescent="0.25">
      <c r="A5" s="132" t="s">
        <v>113</v>
      </c>
    </row>
    <row r="6" spans="1:10" x14ac:dyDescent="0.25">
      <c r="A6" s="133" t="s">
        <v>114</v>
      </c>
      <c r="D6" s="134">
        <v>2006</v>
      </c>
      <c r="E6" s="134">
        <v>2007</v>
      </c>
      <c r="F6" s="134">
        <v>2008</v>
      </c>
      <c r="G6" s="134">
        <v>2009</v>
      </c>
      <c r="H6" s="134">
        <v>2010</v>
      </c>
    </row>
    <row r="7" spans="1:10" x14ac:dyDescent="0.25">
      <c r="A7" s="126" t="s">
        <v>115</v>
      </c>
      <c r="D7" s="135">
        <f>D57</f>
        <v>17.956912442878533</v>
      </c>
      <c r="E7" s="136">
        <f>E57</f>
        <v>20.532897546774123</v>
      </c>
      <c r="F7" s="136">
        <f>F57</f>
        <v>25.613076252470886</v>
      </c>
      <c r="G7" s="136">
        <f>G57</f>
        <v>30.176852190064441</v>
      </c>
      <c r="H7" s="137">
        <f>H57</f>
        <v>34.593228755766035</v>
      </c>
    </row>
    <row r="8" spans="1:10" x14ac:dyDescent="0.25">
      <c r="A8" s="126" t="s">
        <v>116</v>
      </c>
      <c r="D8" s="138">
        <f>D130/1000</f>
        <v>13.344093371215935</v>
      </c>
      <c r="E8" s="139">
        <f>E130/1000</f>
        <v>11.145833017483239</v>
      </c>
      <c r="F8" s="139">
        <f>F130/1000</f>
        <v>28.544629743782362</v>
      </c>
      <c r="G8" s="139">
        <f>G130/1000</f>
        <v>28.723435027392856</v>
      </c>
      <c r="H8" s="140">
        <f>H130/1000</f>
        <v>28.895669719171661</v>
      </c>
    </row>
    <row r="9" spans="1:10" x14ac:dyDescent="0.25">
      <c r="A9" s="126" t="s">
        <v>117</v>
      </c>
      <c r="D9" s="138">
        <f t="shared" ref="D9:H10" si="0">D55</f>
        <v>16.632239805457715</v>
      </c>
      <c r="E9" s="139">
        <f t="shared" si="0"/>
        <v>16.825447391567906</v>
      </c>
      <c r="F9" s="139">
        <f t="shared" si="0"/>
        <v>18.695589179367598</v>
      </c>
      <c r="G9" s="139">
        <f t="shared" si="0"/>
        <v>19.029952667386617</v>
      </c>
      <c r="H9" s="140">
        <f t="shared" si="0"/>
        <v>19.364286430508887</v>
      </c>
    </row>
    <row r="10" spans="1:10" x14ac:dyDescent="0.25">
      <c r="A10" s="126" t="s">
        <v>118</v>
      </c>
      <c r="D10" s="141">
        <f t="shared" si="0"/>
        <v>0</v>
      </c>
      <c r="E10" s="142">
        <f t="shared" si="0"/>
        <v>0</v>
      </c>
      <c r="F10" s="142">
        <f t="shared" si="0"/>
        <v>0</v>
      </c>
      <c r="G10" s="142">
        <f t="shared" si="0"/>
        <v>0</v>
      </c>
      <c r="H10" s="143">
        <f t="shared" si="0"/>
        <v>0</v>
      </c>
    </row>
    <row r="11" spans="1:10" ht="13.8" thickBot="1" x14ac:dyDescent="0.3">
      <c r="A11" s="133" t="s">
        <v>119</v>
      </c>
      <c r="D11" s="144">
        <f>D7-SUM(D8:D10)</f>
        <v>-12.019420733795116</v>
      </c>
      <c r="E11" s="144">
        <f>E7-SUM(E8:E10)</f>
        <v>-7.4383828622770238</v>
      </c>
      <c r="F11" s="144">
        <f>F7-SUM(F8:F10)</f>
        <v>-21.627142670679074</v>
      </c>
      <c r="G11" s="144">
        <f>G7-SUM(G8:G10)</f>
        <v>-17.576535504715036</v>
      </c>
      <c r="H11" s="144">
        <f>H7-SUM(H8:H10)</f>
        <v>-13.666727393914513</v>
      </c>
    </row>
    <row r="12" spans="1:10" ht="13.8" thickTop="1" x14ac:dyDescent="0.25">
      <c r="D12" s="145"/>
      <c r="E12" s="145"/>
      <c r="F12" s="145"/>
      <c r="G12" s="145"/>
      <c r="H12" s="145"/>
    </row>
    <row r="13" spans="1:10" x14ac:dyDescent="0.25">
      <c r="A13" s="198" t="str">
        <f>"NPV (WACC = "&amp;D27*100&amp;"% Real)"</f>
        <v>NPV (WACC = 5.9% Real)</v>
      </c>
      <c r="D13" s="146">
        <f>NPV(D27,D11:H11)*(1+D27)^(0.5)</f>
        <v>-62.185376705309316</v>
      </c>
      <c r="E13" s="145"/>
      <c r="F13" s="145"/>
      <c r="G13" s="145"/>
      <c r="H13" s="145"/>
    </row>
    <row r="15" spans="1:10" x14ac:dyDescent="0.25">
      <c r="A15" s="133" t="s">
        <v>120</v>
      </c>
      <c r="D15" s="134">
        <v>2006</v>
      </c>
      <c r="E15" s="134">
        <v>2007</v>
      </c>
      <c r="F15" s="134">
        <v>2008</v>
      </c>
      <c r="G15" s="134">
        <v>2009</v>
      </c>
      <c r="H15" s="134">
        <v>2010</v>
      </c>
    </row>
    <row r="16" spans="1:10" x14ac:dyDescent="0.25">
      <c r="A16" s="126" t="s">
        <v>121</v>
      </c>
      <c r="D16" s="135">
        <f>D435/1000000</f>
        <v>17.501905078466411</v>
      </c>
      <c r="E16" s="136">
        <f>E435/1000000</f>
        <v>21.283796690940491</v>
      </c>
      <c r="F16" s="136">
        <f>F435/1000000</f>
        <v>25.169421337386535</v>
      </c>
      <c r="G16" s="136">
        <f>G435/1000000</f>
        <v>29.763412193987921</v>
      </c>
      <c r="H16" s="137">
        <f>H435/1000000</f>
        <v>35.208730951819462</v>
      </c>
    </row>
    <row r="17" spans="1:8" x14ac:dyDescent="0.25">
      <c r="A17" s="126" t="s">
        <v>116</v>
      </c>
      <c r="D17" s="138">
        <f t="shared" ref="D17:H18" si="1">D8</f>
        <v>13.344093371215935</v>
      </c>
      <c r="E17" s="139">
        <f t="shared" si="1"/>
        <v>11.145833017483239</v>
      </c>
      <c r="F17" s="139">
        <f t="shared" si="1"/>
        <v>28.544629743782362</v>
      </c>
      <c r="G17" s="139">
        <f t="shared" si="1"/>
        <v>28.723435027392856</v>
      </c>
      <c r="H17" s="140">
        <f t="shared" si="1"/>
        <v>28.895669719171661</v>
      </c>
    </row>
    <row r="18" spans="1:8" x14ac:dyDescent="0.25">
      <c r="A18" s="126" t="s">
        <v>117</v>
      </c>
      <c r="D18" s="138">
        <f t="shared" si="1"/>
        <v>16.632239805457715</v>
      </c>
      <c r="E18" s="139">
        <f t="shared" si="1"/>
        <v>16.825447391567906</v>
      </c>
      <c r="F18" s="139">
        <f t="shared" si="1"/>
        <v>18.695589179367598</v>
      </c>
      <c r="G18" s="139">
        <f t="shared" si="1"/>
        <v>19.029952667386617</v>
      </c>
      <c r="H18" s="140">
        <f t="shared" si="1"/>
        <v>19.364286430508887</v>
      </c>
    </row>
    <row r="19" spans="1:8" x14ac:dyDescent="0.25">
      <c r="A19" s="126" t="s">
        <v>118</v>
      </c>
      <c r="D19" s="141">
        <f>D45</f>
        <v>0</v>
      </c>
      <c r="E19" s="142">
        <f>E45</f>
        <v>0</v>
      </c>
      <c r="F19" s="142">
        <f>F45</f>
        <v>0</v>
      </c>
      <c r="G19" s="142">
        <f>G45</f>
        <v>0</v>
      </c>
      <c r="H19" s="143">
        <f>H45</f>
        <v>0</v>
      </c>
    </row>
    <row r="20" spans="1:8" ht="13.8" thickBot="1" x14ac:dyDescent="0.3">
      <c r="A20" s="133" t="s">
        <v>119</v>
      </c>
      <c r="D20" s="147">
        <f>D16-SUM(D17:D19)</f>
        <v>-12.474428098207238</v>
      </c>
      <c r="E20" s="147">
        <f>E16-SUM(E17:E19)</f>
        <v>-6.6874837181106557</v>
      </c>
      <c r="F20" s="147">
        <f>F16-SUM(F17:F19)</f>
        <v>-22.070797585763426</v>
      </c>
      <c r="G20" s="147">
        <f>G16-SUM(G17:G19)</f>
        <v>-17.989975500791555</v>
      </c>
      <c r="H20" s="147">
        <f>H16-SUM(H17:H19)</f>
        <v>-13.051225197861086</v>
      </c>
    </row>
    <row r="21" spans="1:8" ht="13.8" thickTop="1" x14ac:dyDescent="0.25">
      <c r="D21" s="145"/>
      <c r="E21" s="145"/>
      <c r="F21" s="145"/>
      <c r="G21" s="145"/>
      <c r="H21" s="145"/>
    </row>
    <row r="22" spans="1:8" x14ac:dyDescent="0.25">
      <c r="A22" s="133" t="str">
        <f>"NPV (WACC = "&amp;D27*100&amp;"% Real)"</f>
        <v>NPV (WACC = 5.9% Real)</v>
      </c>
      <c r="D22" s="146">
        <f>NPV(D27,D20:H20)*(1+D27)^(0.5)</f>
        <v>-62.185646244298319</v>
      </c>
      <c r="E22" s="145"/>
      <c r="F22" s="145"/>
      <c r="G22" s="145"/>
      <c r="H22" s="145"/>
    </row>
    <row r="23" spans="1:8" x14ac:dyDescent="0.25">
      <c r="D23" s="145"/>
      <c r="E23" s="148"/>
      <c r="F23" s="148"/>
      <c r="G23" s="145"/>
      <c r="H23" s="145"/>
    </row>
    <row r="24" spans="1:8" x14ac:dyDescent="0.25">
      <c r="A24" s="126" t="s">
        <v>122</v>
      </c>
      <c r="D24" s="149">
        <f>D13-D22</f>
        <v>2.6953898900217155E-4</v>
      </c>
      <c r="E24" s="150"/>
      <c r="F24" s="150"/>
      <c r="G24" s="145"/>
      <c r="H24" s="145"/>
    </row>
    <row r="25" spans="1:8" s="152" customFormat="1" x14ac:dyDescent="0.25">
      <c r="A25" s="151"/>
      <c r="D25" s="153"/>
      <c r="E25" s="154"/>
      <c r="F25" s="154"/>
      <c r="G25" s="154"/>
      <c r="H25" s="154"/>
    </row>
    <row r="26" spans="1:8" s="152" customFormat="1" x14ac:dyDescent="0.25">
      <c r="F26" s="156"/>
      <c r="G26" s="156"/>
      <c r="H26" s="156"/>
    </row>
    <row r="27" spans="1:8" s="152" customFormat="1" x14ac:dyDescent="0.25">
      <c r="A27" s="300" t="str">
        <f>'Data 2006-08'!A141</f>
        <v>'Vanilla' after tax WACC (real)</v>
      </c>
      <c r="B27" s="130"/>
      <c r="C27" s="130"/>
      <c r="D27" s="300">
        <f>'Data 2006-08'!C141</f>
        <v>5.8999999999999997E-2</v>
      </c>
      <c r="F27" s="154"/>
      <c r="G27" s="154"/>
      <c r="H27" s="154"/>
    </row>
    <row r="28" spans="1:8" s="152" customFormat="1" x14ac:dyDescent="0.25">
      <c r="A28" s="151"/>
      <c r="C28" s="157"/>
      <c r="D28" s="158"/>
      <c r="E28" s="154"/>
      <c r="F28" s="154"/>
      <c r="G28" s="154"/>
      <c r="H28" s="154"/>
    </row>
    <row r="29" spans="1:8" s="152" customFormat="1" ht="17.399999999999999" x14ac:dyDescent="0.3">
      <c r="A29" s="151"/>
      <c r="C29" s="159" t="s">
        <v>360</v>
      </c>
      <c r="D29" s="537">
        <v>-0.2</v>
      </c>
      <c r="E29" s="154"/>
      <c r="F29" s="154"/>
      <c r="G29" s="154"/>
      <c r="H29" s="154"/>
    </row>
    <row r="30" spans="1:8" s="152" customFormat="1" x14ac:dyDescent="0.25">
      <c r="A30" s="151"/>
      <c r="C30" s="160"/>
      <c r="D30" s="161"/>
      <c r="E30" s="154"/>
      <c r="F30" s="154"/>
      <c r="G30" s="154"/>
      <c r="H30" s="154"/>
    </row>
    <row r="31" spans="1:8" s="152" customFormat="1" x14ac:dyDescent="0.25">
      <c r="A31" s="151"/>
      <c r="C31" s="160"/>
      <c r="D31" s="161"/>
      <c r="E31" s="154"/>
      <c r="F31" s="154"/>
      <c r="G31" s="154"/>
      <c r="H31" s="154"/>
    </row>
    <row r="32" spans="1:8" s="152" customFormat="1" x14ac:dyDescent="0.25">
      <c r="A32" s="162" t="s">
        <v>123</v>
      </c>
      <c r="B32" s="163"/>
      <c r="C32" s="163"/>
      <c r="D32" s="163"/>
      <c r="E32" s="163"/>
      <c r="F32" s="163"/>
      <c r="G32" s="163"/>
      <c r="H32" s="163"/>
    </row>
    <row r="33" spans="1:9" s="152" customFormat="1" x14ac:dyDescent="0.25">
      <c r="A33" s="133" t="s">
        <v>118</v>
      </c>
      <c r="B33" s="126"/>
      <c r="C33" s="126"/>
      <c r="D33" s="126"/>
      <c r="E33" s="126"/>
      <c r="F33" s="126"/>
      <c r="G33" s="126"/>
      <c r="H33" s="126"/>
    </row>
    <row r="34" spans="1:9" s="152" customFormat="1" x14ac:dyDescent="0.25">
      <c r="A34" s="133" t="s">
        <v>124</v>
      </c>
      <c r="B34" s="126"/>
      <c r="C34" s="126"/>
      <c r="D34" s="134">
        <v>2006</v>
      </c>
      <c r="E34" s="134">
        <v>2007</v>
      </c>
      <c r="F34" s="134">
        <v>2008</v>
      </c>
      <c r="G34" s="134">
        <v>2009</v>
      </c>
      <c r="H34" s="134">
        <v>2010</v>
      </c>
    </row>
    <row r="35" spans="1:9" s="152" customFormat="1" x14ac:dyDescent="0.25">
      <c r="A35" s="126" t="s">
        <v>121</v>
      </c>
      <c r="B35" s="126"/>
      <c r="C35" s="126"/>
      <c r="D35" s="164">
        <f>D435/1000000*D71</f>
        <v>18.396223419293595</v>
      </c>
      <c r="E35" s="165">
        <f>E435/1000000*E71</f>
        <v>22.944070328512275</v>
      </c>
      <c r="F35" s="165">
        <f>F435/1000000*F71</f>
        <v>27.827398448198689</v>
      </c>
      <c r="G35" s="165">
        <f>G435/1000000*G71</f>
        <v>33.748937656107479</v>
      </c>
      <c r="H35" s="166">
        <f>H435/1000000*H71</f>
        <v>40.945461626049067</v>
      </c>
    </row>
    <row r="36" spans="1:9" s="152" customFormat="1" x14ac:dyDescent="0.25">
      <c r="A36" s="126" t="s">
        <v>125</v>
      </c>
      <c r="B36" s="126"/>
      <c r="C36" s="126"/>
      <c r="D36" s="167">
        <f t="shared" ref="D36:H39" si="2">D80</f>
        <v>0</v>
      </c>
      <c r="E36" s="168">
        <f t="shared" si="2"/>
        <v>0</v>
      </c>
      <c r="F36" s="168">
        <f t="shared" si="2"/>
        <v>0</v>
      </c>
      <c r="G36" s="168">
        <f t="shared" si="2"/>
        <v>0</v>
      </c>
      <c r="H36" s="169">
        <f t="shared" si="2"/>
        <v>0</v>
      </c>
    </row>
    <row r="37" spans="1:9" s="152" customFormat="1" x14ac:dyDescent="0.25">
      <c r="A37" s="126" t="s">
        <v>126</v>
      </c>
      <c r="B37" s="126"/>
      <c r="C37" s="126"/>
      <c r="D37" s="167">
        <f t="shared" si="2"/>
        <v>17.482119692268306</v>
      </c>
      <c r="E37" s="168">
        <f t="shared" si="2"/>
        <v>18.137940982359517</v>
      </c>
      <c r="F37" s="168">
        <f t="shared" si="2"/>
        <v>20.669907438249997</v>
      </c>
      <c r="G37" s="168">
        <f t="shared" si="2"/>
        <v>21.578194125875019</v>
      </c>
      <c r="H37" s="169">
        <f t="shared" si="2"/>
        <v>22.519404293248211</v>
      </c>
    </row>
    <row r="38" spans="1:9" s="152" customFormat="1" x14ac:dyDescent="0.25">
      <c r="A38" s="126" t="s">
        <v>127</v>
      </c>
      <c r="B38" s="126"/>
      <c r="C38" s="126"/>
      <c r="D38" s="167">
        <f t="shared" si="2"/>
        <v>2.6268986476407843</v>
      </c>
      <c r="E38" s="168">
        <f t="shared" si="2"/>
        <v>6.5672956427944067</v>
      </c>
      <c r="F38" s="168">
        <f t="shared" si="2"/>
        <v>12.283698492796528</v>
      </c>
      <c r="G38" s="168">
        <f t="shared" si="2"/>
        <v>19.648447461503146</v>
      </c>
      <c r="H38" s="169">
        <f t="shared" si="2"/>
        <v>24.663309170444922</v>
      </c>
    </row>
    <row r="39" spans="1:9" s="152" customFormat="1" x14ac:dyDescent="0.25">
      <c r="A39" s="126" t="s">
        <v>128</v>
      </c>
      <c r="B39" s="126"/>
      <c r="C39" s="126"/>
      <c r="D39" s="167">
        <f t="shared" si="2"/>
        <v>0.2627890487506141</v>
      </c>
      <c r="E39" s="168">
        <f t="shared" si="2"/>
        <v>0.72221165870474835</v>
      </c>
      <c r="F39" s="168">
        <f t="shared" si="2"/>
        <v>1.4541630414734068</v>
      </c>
      <c r="G39" s="168">
        <f t="shared" si="2"/>
        <v>2.5067216049792811</v>
      </c>
      <c r="H39" s="169">
        <f t="shared" si="2"/>
        <v>3.4829614248619314</v>
      </c>
    </row>
    <row r="40" spans="1:9" s="152" customFormat="1" x14ac:dyDescent="0.25">
      <c r="A40" s="126" t="s">
        <v>129</v>
      </c>
      <c r="B40" s="126"/>
      <c r="C40" s="126"/>
      <c r="D40" s="167">
        <f>D84</f>
        <v>0</v>
      </c>
      <c r="E40" s="170">
        <v>0</v>
      </c>
      <c r="F40" s="170">
        <v>0</v>
      </c>
      <c r="G40" s="170">
        <v>0</v>
      </c>
      <c r="H40" s="171">
        <v>0</v>
      </c>
    </row>
    <row r="41" spans="1:9" s="152" customFormat="1" x14ac:dyDescent="0.25">
      <c r="A41" s="126" t="s">
        <v>130</v>
      </c>
      <c r="B41" s="126"/>
      <c r="C41" s="126"/>
      <c r="D41" s="172">
        <f>SUM(D35:D36)-SUM(D37:D40)</f>
        <v>-1.975583969366113</v>
      </c>
      <c r="E41" s="173">
        <f>SUM(E35:E36)-SUM(E37:E40)</f>
        <v>-2.4833779553463948</v>
      </c>
      <c r="F41" s="173">
        <f>SUM(F35:F36)-SUM(F37:F40)</f>
        <v>-6.5803705243212427</v>
      </c>
      <c r="G41" s="173">
        <f>SUM(G35:G36)-SUM(G37:G40)</f>
        <v>-9.9844255362499723</v>
      </c>
      <c r="H41" s="174">
        <f>SUM(H35:H36)-SUM(H37:H40)</f>
        <v>-9.7202132625060003</v>
      </c>
    </row>
    <row r="42" spans="1:9" s="152" customFormat="1" x14ac:dyDescent="0.25">
      <c r="A42" s="126" t="s">
        <v>131</v>
      </c>
      <c r="B42" s="126"/>
      <c r="C42" s="126"/>
      <c r="D42" s="172">
        <f>IF(D41&lt;0,0,D41*D65)</f>
        <v>0</v>
      </c>
      <c r="E42" s="173">
        <f>IF(E41&lt;0,0,E41*E65)</f>
        <v>0</v>
      </c>
      <c r="F42" s="173">
        <f>IF(F41&lt;0,0,F41*F65)</f>
        <v>0</v>
      </c>
      <c r="G42" s="173">
        <f>IF(G41&lt;0,0,G41*G65)</f>
        <v>0</v>
      </c>
      <c r="H42" s="174">
        <f>IF(H41&lt;0,0,H41*H65)</f>
        <v>0</v>
      </c>
    </row>
    <row r="43" spans="1:9" s="152" customFormat="1" x14ac:dyDescent="0.25">
      <c r="A43" s="126" t="s">
        <v>132</v>
      </c>
      <c r="B43" s="126"/>
      <c r="C43" s="126"/>
      <c r="D43" s="172">
        <f>D76*D42</f>
        <v>0</v>
      </c>
      <c r="E43" s="173">
        <f>E76*E42</f>
        <v>0</v>
      </c>
      <c r="F43" s="173">
        <f>F76*F42</f>
        <v>0</v>
      </c>
      <c r="G43" s="173">
        <f>G76*G42</f>
        <v>0</v>
      </c>
      <c r="H43" s="174">
        <f>H76*H42</f>
        <v>0</v>
      </c>
    </row>
    <row r="44" spans="1:9" s="152" customFormat="1" x14ac:dyDescent="0.25">
      <c r="A44" s="126" t="s">
        <v>133</v>
      </c>
      <c r="B44" s="126"/>
      <c r="C44" s="126"/>
      <c r="D44" s="172">
        <f>D42-D43</f>
        <v>0</v>
      </c>
      <c r="E44" s="173">
        <f>E42-E43</f>
        <v>0</v>
      </c>
      <c r="F44" s="173">
        <f>F42-F43</f>
        <v>0</v>
      </c>
      <c r="G44" s="173">
        <f>G42-G43</f>
        <v>0</v>
      </c>
      <c r="H44" s="174">
        <f>H42-H43</f>
        <v>0</v>
      </c>
    </row>
    <row r="45" spans="1:9" s="152" customFormat="1" x14ac:dyDescent="0.25">
      <c r="A45" s="126" t="s">
        <v>134</v>
      </c>
      <c r="B45" s="126"/>
      <c r="C45" s="126"/>
      <c r="D45" s="175">
        <f>D44/D71</f>
        <v>0</v>
      </c>
      <c r="E45" s="176">
        <f>E44/E71</f>
        <v>0</v>
      </c>
      <c r="F45" s="176">
        <f>F44/F71</f>
        <v>0</v>
      </c>
      <c r="G45" s="176">
        <f>G44/G71</f>
        <v>0</v>
      </c>
      <c r="H45" s="177">
        <f>H44/H71</f>
        <v>0</v>
      </c>
    </row>
    <row r="46" spans="1:9" s="152" customFormat="1" x14ac:dyDescent="0.25">
      <c r="A46" s="126"/>
      <c r="B46" s="126"/>
      <c r="C46" s="126"/>
      <c r="D46" s="168"/>
      <c r="E46" s="168"/>
      <c r="F46" s="168"/>
      <c r="G46" s="168"/>
      <c r="H46" s="168"/>
    </row>
    <row r="47" spans="1:9" s="152" customFormat="1" x14ac:dyDescent="0.25">
      <c r="A47" s="178"/>
      <c r="B47" s="178"/>
      <c r="C47" s="178"/>
      <c r="D47" s="176"/>
      <c r="E47" s="176"/>
      <c r="F47" s="176"/>
      <c r="G47" s="176"/>
      <c r="H47" s="176"/>
      <c r="I47" s="179"/>
    </row>
    <row r="48" spans="1:9" s="152" customFormat="1" x14ac:dyDescent="0.25">
      <c r="A48" s="126"/>
      <c r="B48" s="126"/>
      <c r="C48" s="126"/>
      <c r="D48" s="168"/>
      <c r="E48" s="168"/>
      <c r="F48" s="168"/>
      <c r="G48" s="168"/>
      <c r="H48" s="168"/>
    </row>
    <row r="49" spans="1:18" s="152" customFormat="1" x14ac:dyDescent="0.25">
      <c r="A49" s="126"/>
      <c r="B49" s="126"/>
      <c r="C49" s="126"/>
      <c r="D49" s="168"/>
      <c r="E49" s="168"/>
      <c r="F49" s="168"/>
      <c r="G49" s="168"/>
      <c r="H49" s="168"/>
    </row>
    <row r="50" spans="1:18" ht="26.4" x14ac:dyDescent="0.25">
      <c r="A50" s="180" t="s">
        <v>135</v>
      </c>
      <c r="B50" s="152"/>
      <c r="C50" s="152"/>
    </row>
    <row r="51" spans="1:18" x14ac:dyDescent="0.25">
      <c r="C51" s="155"/>
      <c r="L51" s="157"/>
      <c r="M51" s="157"/>
      <c r="N51" s="157"/>
      <c r="O51" s="157"/>
      <c r="P51" s="157"/>
      <c r="Q51" s="152"/>
      <c r="R51" s="152"/>
    </row>
    <row r="52" spans="1:18" x14ac:dyDescent="0.25">
      <c r="A52" s="181" t="s">
        <v>113</v>
      </c>
      <c r="B52" s="155"/>
      <c r="C52" s="155"/>
      <c r="D52" s="182">
        <v>2006</v>
      </c>
      <c r="E52" s="182">
        <v>2007</v>
      </c>
      <c r="F52" s="182">
        <v>2008</v>
      </c>
      <c r="G52" s="182">
        <v>2009</v>
      </c>
      <c r="H52" s="182">
        <v>2010</v>
      </c>
      <c r="I52" s="183"/>
      <c r="J52" s="183"/>
      <c r="L52" s="184"/>
      <c r="M52" s="184"/>
      <c r="N52" s="184"/>
      <c r="O52" s="184"/>
      <c r="P52" s="184"/>
      <c r="Q52" s="152"/>
      <c r="R52" s="152"/>
    </row>
    <row r="53" spans="1:18" x14ac:dyDescent="0.25">
      <c r="A53" s="185" t="s">
        <v>136</v>
      </c>
      <c r="B53" s="155"/>
      <c r="C53" s="155"/>
      <c r="D53" s="189">
        <f>D185/1000*$D$27</f>
        <v>0.36535075903859443</v>
      </c>
      <c r="E53" s="189">
        <f>E185/1000*$D$27</f>
        <v>0.97901474756760543</v>
      </c>
      <c r="F53" s="189">
        <f>F185/1000*$D$27</f>
        <v>1.9220285274013955</v>
      </c>
      <c r="G53" s="189">
        <f>G185/1000*$D$27</f>
        <v>3.2305377384171696</v>
      </c>
      <c r="H53" s="189">
        <f>H185/1000*$D$27</f>
        <v>4.3766253036682619</v>
      </c>
      <c r="I53" s="186"/>
      <c r="J53" s="186"/>
      <c r="L53" s="187"/>
      <c r="M53" s="187"/>
      <c r="N53" s="187"/>
      <c r="O53" s="187"/>
      <c r="P53" s="187"/>
      <c r="Q53" s="188"/>
      <c r="R53" s="188"/>
    </row>
    <row r="54" spans="1:18" x14ac:dyDescent="0.25">
      <c r="A54" s="185" t="s">
        <v>137</v>
      </c>
      <c r="B54" s="155"/>
      <c r="C54" s="155"/>
      <c r="D54" s="189">
        <f>D182/1000</f>
        <v>0.95932187838222538</v>
      </c>
      <c r="E54" s="189">
        <f>E182/1000</f>
        <v>2.7284354076386124</v>
      </c>
      <c r="F54" s="189">
        <f>F182/1000</f>
        <v>4.9954585457018927</v>
      </c>
      <c r="G54" s="189">
        <f>G182/1000</f>
        <v>7.916361784260654</v>
      </c>
      <c r="H54" s="189">
        <f>H182/1000</f>
        <v>10.852317021588881</v>
      </c>
      <c r="I54" s="189"/>
      <c r="J54" s="189"/>
      <c r="L54" s="187"/>
      <c r="M54" s="187"/>
      <c r="N54" s="187"/>
      <c r="O54" s="187"/>
      <c r="P54" s="187"/>
      <c r="Q54" s="188"/>
      <c r="R54" s="188"/>
    </row>
    <row r="55" spans="1:18" x14ac:dyDescent="0.25">
      <c r="A55" s="185" t="s">
        <v>138</v>
      </c>
      <c r="B55" s="155"/>
      <c r="C55" s="155"/>
      <c r="D55" s="189">
        <f>D114/1000</f>
        <v>16.632239805457715</v>
      </c>
      <c r="E55" s="189">
        <f>E114/1000</f>
        <v>16.825447391567906</v>
      </c>
      <c r="F55" s="189">
        <f>F114/1000</f>
        <v>18.695589179367598</v>
      </c>
      <c r="G55" s="189">
        <f>G114/1000</f>
        <v>19.029952667386617</v>
      </c>
      <c r="H55" s="189">
        <f>H114/1000</f>
        <v>19.364286430508887</v>
      </c>
      <c r="I55" s="189"/>
      <c r="J55" s="189"/>
      <c r="L55" s="187"/>
      <c r="M55" s="187"/>
      <c r="N55" s="187"/>
      <c r="O55" s="187"/>
      <c r="P55" s="187"/>
      <c r="Q55" s="188"/>
      <c r="R55" s="188"/>
    </row>
    <row r="56" spans="1:18" x14ac:dyDescent="0.25">
      <c r="A56" s="190" t="s">
        <v>139</v>
      </c>
      <c r="B56" s="157"/>
      <c r="C56" s="155"/>
      <c r="D56" s="189">
        <f>D93</f>
        <v>0</v>
      </c>
      <c r="E56" s="189">
        <f>E93</f>
        <v>0</v>
      </c>
      <c r="F56" s="189">
        <f>F93</f>
        <v>0</v>
      </c>
      <c r="G56" s="189">
        <f>G93</f>
        <v>0</v>
      </c>
      <c r="H56" s="189">
        <f>H93</f>
        <v>0</v>
      </c>
      <c r="I56" s="189"/>
      <c r="J56" s="189"/>
      <c r="L56" s="187"/>
      <c r="M56" s="187"/>
      <c r="N56" s="187"/>
      <c r="O56" s="187"/>
      <c r="P56" s="187"/>
      <c r="Q56" s="188"/>
      <c r="R56" s="188"/>
    </row>
    <row r="57" spans="1:18" ht="13.8" thickBot="1" x14ac:dyDescent="0.3">
      <c r="A57" s="181" t="s">
        <v>114</v>
      </c>
      <c r="B57" s="191"/>
      <c r="C57" s="155"/>
      <c r="D57" s="192">
        <f>SUM(D53:D56)</f>
        <v>17.956912442878533</v>
      </c>
      <c r="E57" s="192">
        <f>SUM(E53:E56)</f>
        <v>20.532897546774123</v>
      </c>
      <c r="F57" s="192">
        <f>SUM(F53:F56)</f>
        <v>25.613076252470886</v>
      </c>
      <c r="G57" s="192">
        <f>SUM(G53:G56)</f>
        <v>30.176852190064441</v>
      </c>
      <c r="H57" s="192">
        <f>SUM(H53:H56)</f>
        <v>34.593228755766035</v>
      </c>
      <c r="I57" s="193"/>
      <c r="J57" s="193"/>
      <c r="L57" s="187"/>
      <c r="M57" s="187"/>
      <c r="N57" s="187"/>
      <c r="O57" s="187"/>
      <c r="P57" s="187"/>
      <c r="Q57" s="188"/>
      <c r="R57" s="188"/>
    </row>
    <row r="58" spans="1:18" s="157" customFormat="1" ht="13.8" thickTop="1" x14ac:dyDescent="0.25">
      <c r="A58" s="194"/>
      <c r="B58" s="195"/>
      <c r="D58" s="196"/>
      <c r="E58" s="196"/>
      <c r="F58" s="196"/>
      <c r="G58" s="196"/>
      <c r="H58" s="196"/>
      <c r="I58" s="196"/>
      <c r="J58" s="196"/>
    </row>
    <row r="59" spans="1:18" s="157" customFormat="1" x14ac:dyDescent="0.25">
      <c r="A59" s="179"/>
      <c r="B59" s="179"/>
      <c r="C59" s="179"/>
      <c r="D59" s="197"/>
      <c r="E59" s="197"/>
      <c r="F59" s="197"/>
      <c r="G59" s="197"/>
      <c r="H59" s="197"/>
      <c r="I59" s="189"/>
      <c r="J59" s="189"/>
    </row>
    <row r="60" spans="1:18" s="152" customFormat="1" x14ac:dyDescent="0.25">
      <c r="C60" s="155"/>
    </row>
    <row r="61" spans="1:18" s="152" customFormat="1" x14ac:dyDescent="0.25">
      <c r="A61" s="198" t="s">
        <v>140</v>
      </c>
      <c r="C61" s="155"/>
    </row>
    <row r="62" spans="1:18" s="152" customFormat="1" x14ac:dyDescent="0.25">
      <c r="C62" s="155"/>
      <c r="D62" s="199">
        <v>2006</v>
      </c>
      <c r="E62" s="200">
        <v>2007</v>
      </c>
      <c r="F62" s="200">
        <v>2008</v>
      </c>
      <c r="G62" s="200">
        <v>2009</v>
      </c>
      <c r="H62" s="200">
        <v>2010</v>
      </c>
      <c r="I62" s="201"/>
      <c r="J62" s="201"/>
    </row>
    <row r="63" spans="1:18" s="152" customFormat="1" x14ac:dyDescent="0.25">
      <c r="A63" s="157" t="s">
        <v>16</v>
      </c>
      <c r="C63" s="155"/>
      <c r="D63" s="301">
        <f>'Data 2006-08'!$C$134</f>
        <v>2.5600000000000001E-2</v>
      </c>
      <c r="E63" s="301">
        <f>'Data 2006-08'!$C$134</f>
        <v>2.5600000000000001E-2</v>
      </c>
      <c r="F63" s="301">
        <f>'Data 2006-08'!$C$134</f>
        <v>2.5600000000000001E-2</v>
      </c>
      <c r="G63" s="301">
        <f>'Data 2006-08'!$C$134</f>
        <v>2.5600000000000001E-2</v>
      </c>
      <c r="H63" s="301">
        <f>'Data 2006-08'!$C$134</f>
        <v>2.5600000000000001E-2</v>
      </c>
      <c r="I63" s="202"/>
      <c r="J63" s="202"/>
    </row>
    <row r="64" spans="1:18" s="152" customFormat="1" x14ac:dyDescent="0.25">
      <c r="A64" s="157" t="s">
        <v>141</v>
      </c>
      <c r="D64" s="302">
        <f>'Data 2006-08'!$C$133</f>
        <v>0.6</v>
      </c>
      <c r="E64" s="302">
        <f>'Data 2006-08'!$C$133</f>
        <v>0.6</v>
      </c>
      <c r="F64" s="302">
        <f>'Data 2006-08'!$C$133</f>
        <v>0.6</v>
      </c>
      <c r="G64" s="302">
        <f>'Data 2006-08'!$C$133</f>
        <v>0.6</v>
      </c>
      <c r="H64" s="302">
        <f>'Data 2006-08'!$C$133</f>
        <v>0.6</v>
      </c>
      <c r="I64" s="204"/>
      <c r="J64" s="204"/>
    </row>
    <row r="65" spans="1:10" s="152" customFormat="1" x14ac:dyDescent="0.25">
      <c r="A65" s="157" t="s">
        <v>142</v>
      </c>
      <c r="D65" s="302">
        <f>'Data 2006-08'!$C$169</f>
        <v>0.3</v>
      </c>
      <c r="E65" s="302">
        <f>'Data 2006-08'!$C$169</f>
        <v>0.3</v>
      </c>
      <c r="F65" s="302">
        <f>'Data 2006-08'!$C$169</f>
        <v>0.3</v>
      </c>
      <c r="G65" s="302">
        <f>'Data 2006-08'!$C$169</f>
        <v>0.3</v>
      </c>
      <c r="H65" s="302">
        <f>'Data 2006-08'!$C$169</f>
        <v>0.3</v>
      </c>
      <c r="I65" s="203"/>
      <c r="J65" s="203"/>
    </row>
    <row r="66" spans="1:10" s="152" customFormat="1" x14ac:dyDescent="0.25">
      <c r="A66" s="157" t="s">
        <v>143</v>
      </c>
      <c r="D66" s="205">
        <f>SUM(D53:D55)</f>
        <v>17.956912442878533</v>
      </c>
      <c r="E66" s="205">
        <f>SUM(E53:E55)</f>
        <v>20.532897546774123</v>
      </c>
      <c r="F66" s="205">
        <f>SUM(F53:F55)</f>
        <v>25.613076252470886</v>
      </c>
      <c r="G66" s="205">
        <f>SUM(G53:G55)</f>
        <v>30.176852190064441</v>
      </c>
      <c r="H66" s="205">
        <f>SUM(H53:H55)</f>
        <v>34.593228755766035</v>
      </c>
      <c r="I66" s="205"/>
      <c r="J66" s="205"/>
    </row>
    <row r="67" spans="1:10" s="152" customFormat="1" x14ac:dyDescent="0.25">
      <c r="A67" s="152" t="s">
        <v>144</v>
      </c>
      <c r="D67" s="205">
        <f>D124/1000</f>
        <v>0</v>
      </c>
      <c r="E67" s="205">
        <f>E124/1000</f>
        <v>0</v>
      </c>
      <c r="F67" s="205">
        <f>F124/1000</f>
        <v>0</v>
      </c>
      <c r="G67" s="205">
        <f>G124/1000</f>
        <v>0</v>
      </c>
      <c r="H67" s="205">
        <f>H124/1000</f>
        <v>0</v>
      </c>
      <c r="I67" s="205"/>
      <c r="J67" s="205"/>
    </row>
    <row r="68" spans="1:10" s="152" customFormat="1" x14ac:dyDescent="0.25">
      <c r="A68" s="152" t="s">
        <v>145</v>
      </c>
      <c r="D68" s="206">
        <f>D114/1000</f>
        <v>16.632239805457715</v>
      </c>
      <c r="E68" s="206">
        <f>E114/1000</f>
        <v>16.825447391567906</v>
      </c>
      <c r="F68" s="206">
        <f>F114/1000</f>
        <v>18.695589179367598</v>
      </c>
      <c r="G68" s="206">
        <f>G114/1000</f>
        <v>19.029952667386617</v>
      </c>
      <c r="H68" s="206">
        <f>H114/1000</f>
        <v>19.364286430508887</v>
      </c>
      <c r="I68" s="206"/>
      <c r="J68" s="206"/>
    </row>
    <row r="69" spans="1:10" s="152" customFormat="1" x14ac:dyDescent="0.25">
      <c r="A69" s="157" t="s">
        <v>146</v>
      </c>
      <c r="D69" s="205">
        <f>D185/1000</f>
        <v>6.1923857464168552</v>
      </c>
      <c r="E69" s="205">
        <f>E185/1000</f>
        <v>16.593470297756024</v>
      </c>
      <c r="F69" s="205">
        <f>F185/1000</f>
        <v>32.576754701718571</v>
      </c>
      <c r="G69" s="205">
        <f>G185/1000</f>
        <v>54.754876922324911</v>
      </c>
      <c r="H69" s="205">
        <f>H185/1000</f>
        <v>74.180089892682403</v>
      </c>
      <c r="I69" s="205"/>
      <c r="J69" s="205"/>
    </row>
    <row r="70" spans="1:10" s="152" customFormat="1" x14ac:dyDescent="0.25">
      <c r="A70" s="157" t="str">
        <f>"Debt ("&amp;D64*100&amp;"% of RAB)"</f>
        <v>Debt (60% of RAB)</v>
      </c>
      <c r="D70" s="205">
        <f>D64*D69</f>
        <v>3.7154314478501131</v>
      </c>
      <c r="E70" s="205">
        <f>E64*E69</f>
        <v>9.9560821786536149</v>
      </c>
      <c r="F70" s="205">
        <f>F64*F69</f>
        <v>19.546052821031143</v>
      </c>
      <c r="G70" s="205">
        <f>G64*G69</f>
        <v>32.852926153394947</v>
      </c>
      <c r="H70" s="205">
        <f>H64*H69</f>
        <v>44.508053935609439</v>
      </c>
      <c r="I70" s="205"/>
      <c r="J70" s="205"/>
    </row>
    <row r="71" spans="1:10" s="152" customFormat="1" x14ac:dyDescent="0.25">
      <c r="A71" s="152" t="s">
        <v>147</v>
      </c>
      <c r="D71" s="207">
        <f>(148.4/144.8)*(1+D63)</f>
        <v>1.0510983425414364</v>
      </c>
      <c r="E71" s="207">
        <f>D71*(1+E63)</f>
        <v>1.0780064601104973</v>
      </c>
      <c r="F71" s="207">
        <f>E71*(1+F63)</f>
        <v>1.1056034254893261</v>
      </c>
      <c r="G71" s="207">
        <f>F71*(1+G63)</f>
        <v>1.1339068731818529</v>
      </c>
      <c r="H71" s="207">
        <f>G71*(1+H63)</f>
        <v>1.1629348891353084</v>
      </c>
      <c r="I71" s="208"/>
      <c r="J71" s="208"/>
    </row>
    <row r="72" spans="1:10" s="152" customFormat="1" x14ac:dyDescent="0.25">
      <c r="D72" s="209"/>
      <c r="I72" s="157"/>
      <c r="J72" s="157"/>
    </row>
    <row r="73" spans="1:10" s="152" customFormat="1" x14ac:dyDescent="0.25">
      <c r="A73" s="152" t="s">
        <v>79</v>
      </c>
      <c r="D73" s="303">
        <f>'Data 2006-08'!C128</f>
        <v>2.64E-2</v>
      </c>
      <c r="I73" s="157"/>
      <c r="J73" s="157"/>
    </row>
    <row r="74" spans="1:10" s="152" customFormat="1" x14ac:dyDescent="0.25">
      <c r="A74" s="152" t="s">
        <v>148</v>
      </c>
      <c r="D74" s="304">
        <f>'Data 2006-08'!C129</f>
        <v>1.4250000000000001E-2</v>
      </c>
      <c r="I74" s="157"/>
      <c r="J74" s="157"/>
    </row>
    <row r="75" spans="1:10" s="152" customFormat="1" x14ac:dyDescent="0.25">
      <c r="A75" s="152" t="s">
        <v>84</v>
      </c>
      <c r="D75" s="210">
        <f>(1+SUM(D73:D74))*(1+D63)-1</f>
        <v>6.7290640000000179E-2</v>
      </c>
      <c r="I75" s="157"/>
      <c r="J75" s="157"/>
    </row>
    <row r="76" spans="1:10" s="152" customFormat="1" x14ac:dyDescent="0.25">
      <c r="A76" s="152" t="s">
        <v>17</v>
      </c>
      <c r="D76" s="305">
        <f>'Data 2006-08'!C132</f>
        <v>0.5</v>
      </c>
      <c r="I76" s="157"/>
      <c r="J76" s="157"/>
    </row>
    <row r="77" spans="1:10" s="152" customFormat="1" x14ac:dyDescent="0.25">
      <c r="I77" s="157"/>
      <c r="J77" s="157"/>
    </row>
    <row r="78" spans="1:10" s="152" customFormat="1" x14ac:dyDescent="0.25">
      <c r="A78" s="198" t="s">
        <v>149</v>
      </c>
      <c r="D78" s="199">
        <v>2006</v>
      </c>
      <c r="E78" s="200">
        <v>2007</v>
      </c>
      <c r="F78" s="200">
        <v>2008</v>
      </c>
      <c r="G78" s="200">
        <v>2009</v>
      </c>
      <c r="H78" s="200">
        <v>2010</v>
      </c>
      <c r="I78" s="201"/>
      <c r="J78" s="201"/>
    </row>
    <row r="79" spans="1:10" s="152" customFormat="1" x14ac:dyDescent="0.25">
      <c r="A79" s="152" t="s">
        <v>150</v>
      </c>
      <c r="D79" s="211">
        <f t="shared" ref="D79:H81" si="3">D66*D$71</f>
        <v>18.874480905871323</v>
      </c>
      <c r="E79" s="211">
        <f t="shared" si="3"/>
        <v>22.134596200209486</v>
      </c>
      <c r="F79" s="211">
        <f t="shared" si="3"/>
        <v>28.317904842051124</v>
      </c>
      <c r="G79" s="211">
        <f t="shared" si="3"/>
        <v>34.217740109306916</v>
      </c>
      <c r="H79" s="211">
        <f t="shared" si="3"/>
        <v>40.229672647919138</v>
      </c>
      <c r="I79" s="206"/>
      <c r="J79" s="206"/>
    </row>
    <row r="80" spans="1:10" s="152" customFormat="1" x14ac:dyDescent="0.25">
      <c r="A80" s="152" t="s">
        <v>4</v>
      </c>
      <c r="D80" s="206">
        <f t="shared" si="3"/>
        <v>0</v>
      </c>
      <c r="E80" s="206">
        <f t="shared" si="3"/>
        <v>0</v>
      </c>
      <c r="F80" s="206">
        <f t="shared" si="3"/>
        <v>0</v>
      </c>
      <c r="G80" s="206">
        <f t="shared" si="3"/>
        <v>0</v>
      </c>
      <c r="H80" s="206">
        <f t="shared" si="3"/>
        <v>0</v>
      </c>
      <c r="I80" s="206"/>
      <c r="J80" s="206"/>
    </row>
    <row r="81" spans="1:10" s="152" customFormat="1" x14ac:dyDescent="0.25">
      <c r="A81" s="152" t="s">
        <v>126</v>
      </c>
      <c r="D81" s="206">
        <f t="shared" si="3"/>
        <v>17.482119692268306</v>
      </c>
      <c r="E81" s="206">
        <f t="shared" si="3"/>
        <v>18.137940982359517</v>
      </c>
      <c r="F81" s="206">
        <f t="shared" si="3"/>
        <v>20.669907438249997</v>
      </c>
      <c r="G81" s="206">
        <f t="shared" si="3"/>
        <v>21.578194125875019</v>
      </c>
      <c r="H81" s="206">
        <f t="shared" si="3"/>
        <v>22.519404293248211</v>
      </c>
      <c r="I81" s="206"/>
      <c r="J81" s="206"/>
    </row>
    <row r="82" spans="1:10" s="152" customFormat="1" x14ac:dyDescent="0.25">
      <c r="A82" s="152" t="s">
        <v>127</v>
      </c>
      <c r="D82" s="206">
        <f>D307/1000</f>
        <v>2.6268986476407843</v>
      </c>
      <c r="E82" s="206">
        <f>E307/1000</f>
        <v>6.5672956427944067</v>
      </c>
      <c r="F82" s="206">
        <f>F307/1000</f>
        <v>12.283698492796528</v>
      </c>
      <c r="G82" s="206">
        <f>G307/1000</f>
        <v>19.648447461503146</v>
      </c>
      <c r="H82" s="206">
        <f>H307/1000</f>
        <v>24.663309170444922</v>
      </c>
      <c r="I82" s="206"/>
      <c r="J82" s="206"/>
    </row>
    <row r="83" spans="1:10" s="152" customFormat="1" x14ac:dyDescent="0.25">
      <c r="A83" s="152" t="s">
        <v>128</v>
      </c>
      <c r="D83" s="206">
        <f>D70*D71*$D$75</f>
        <v>0.2627890487506141</v>
      </c>
      <c r="E83" s="206">
        <f>E70*E71*$D$75</f>
        <v>0.72221165870474835</v>
      </c>
      <c r="F83" s="206">
        <f>F70*F71*$D$75</f>
        <v>1.4541630414734068</v>
      </c>
      <c r="G83" s="206">
        <f>G70*G71*$D$75</f>
        <v>2.5067216049792811</v>
      </c>
      <c r="H83" s="206">
        <f>H70*H71*$D$75</f>
        <v>3.4829614248619314</v>
      </c>
      <c r="I83" s="206"/>
      <c r="J83" s="206"/>
    </row>
    <row r="84" spans="1:10" s="152" customFormat="1" x14ac:dyDescent="0.25">
      <c r="A84" s="152" t="s">
        <v>129</v>
      </c>
      <c r="D84" s="206">
        <v>0</v>
      </c>
      <c r="E84" s="206">
        <f>IF(D85&lt;0,-D85,0)</f>
        <v>1.4973264827883845</v>
      </c>
      <c r="F84" s="206">
        <f>IF(E85&lt;0,-E85,0)</f>
        <v>4.790178566437568</v>
      </c>
      <c r="G84" s="206">
        <f>IF(F85&lt;0,-F85,0)</f>
        <v>10.880042696906376</v>
      </c>
      <c r="H84" s="206">
        <f>IF(G85&lt;0,-G85,0)</f>
        <v>20.395665779956914</v>
      </c>
      <c r="I84" s="206"/>
      <c r="J84" s="206"/>
    </row>
    <row r="85" spans="1:10" s="152" customFormat="1" x14ac:dyDescent="0.25">
      <c r="A85" s="152" t="s">
        <v>151</v>
      </c>
      <c r="D85" s="206">
        <f>SUM(D79:D80)-SUM(D81:D84)</f>
        <v>-1.4973264827883845</v>
      </c>
      <c r="E85" s="206">
        <f>SUM(E79:E80)-SUM(E81:E84)</f>
        <v>-4.790178566437568</v>
      </c>
      <c r="F85" s="206">
        <f>SUM(F79:F80)-SUM(F81:F84)</f>
        <v>-10.880042696906376</v>
      </c>
      <c r="G85" s="206">
        <f>SUM(G79:G80)-SUM(G81:G84)</f>
        <v>-20.395665779956914</v>
      </c>
      <c r="H85" s="206">
        <f>SUM(H79:H80)-SUM(H81:H84)</f>
        <v>-30.831668020592836</v>
      </c>
      <c r="I85" s="206"/>
      <c r="J85" s="206"/>
    </row>
    <row r="86" spans="1:10" s="152" customFormat="1" x14ac:dyDescent="0.25">
      <c r="A86" s="152" t="s">
        <v>152</v>
      </c>
      <c r="D86" s="206">
        <f>IF(D85&lt;0,0,D85*D65/(1-D65*(1-$D$76)))</f>
        <v>0</v>
      </c>
      <c r="E86" s="206">
        <f>IF(E85&lt;0,0,E85*E65/(1-E65*(1-$D$76)))</f>
        <v>0</v>
      </c>
      <c r="F86" s="206">
        <f>IF(F85&lt;0,0,F85*F65/(1-F65*(1-$D$76)))</f>
        <v>0</v>
      </c>
      <c r="G86" s="206">
        <f>IF(G85&lt;0,0,G85*G65/(1-G65*(1-$D$76)))</f>
        <v>0</v>
      </c>
      <c r="H86" s="206">
        <f>IF(H85&lt;0,0,H85*H65/(1-H65*(1-$D$76)))</f>
        <v>0</v>
      </c>
      <c r="I86" s="206"/>
      <c r="J86" s="206"/>
    </row>
    <row r="87" spans="1:10" s="152" customFormat="1" x14ac:dyDescent="0.25">
      <c r="A87" s="152" t="s">
        <v>132</v>
      </c>
      <c r="D87" s="212">
        <f>D86*$D$76</f>
        <v>0</v>
      </c>
      <c r="E87" s="212">
        <f>E86*$D$76</f>
        <v>0</v>
      </c>
      <c r="F87" s="212">
        <f>F86*$D$76</f>
        <v>0</v>
      </c>
      <c r="G87" s="212">
        <f>G86*$D$76</f>
        <v>0</v>
      </c>
      <c r="H87" s="212">
        <f>H86*$D$76</f>
        <v>0</v>
      </c>
      <c r="I87" s="206"/>
      <c r="J87" s="206"/>
    </row>
    <row r="88" spans="1:10" s="152" customFormat="1" x14ac:dyDescent="0.25">
      <c r="A88" s="152" t="s">
        <v>153</v>
      </c>
      <c r="D88" s="213">
        <f>D86-D87</f>
        <v>0</v>
      </c>
      <c r="E88" s="213">
        <f>E86-E87</f>
        <v>0</v>
      </c>
      <c r="F88" s="213">
        <f>F86-F87</f>
        <v>0</v>
      </c>
      <c r="G88" s="213">
        <f>G86-G87</f>
        <v>0</v>
      </c>
      <c r="H88" s="213">
        <f>H86-H87</f>
        <v>0</v>
      </c>
      <c r="I88" s="214"/>
      <c r="J88" s="214"/>
    </row>
    <row r="89" spans="1:10" s="152" customFormat="1" x14ac:dyDescent="0.25">
      <c r="I89" s="157"/>
      <c r="J89" s="157"/>
    </row>
    <row r="90" spans="1:10" s="152" customFormat="1" x14ac:dyDescent="0.25">
      <c r="A90" s="198" t="s">
        <v>113</v>
      </c>
      <c r="D90" s="199">
        <v>2006</v>
      </c>
      <c r="E90" s="200">
        <v>2007</v>
      </c>
      <c r="F90" s="200">
        <v>2008</v>
      </c>
      <c r="G90" s="200">
        <v>2009</v>
      </c>
      <c r="H90" s="200">
        <v>2010</v>
      </c>
      <c r="I90" s="201"/>
      <c r="J90" s="201"/>
    </row>
    <row r="91" spans="1:10" s="152" customFormat="1" x14ac:dyDescent="0.25">
      <c r="A91" s="152" t="s">
        <v>152</v>
      </c>
      <c r="D91" s="211">
        <f t="shared" ref="D91:H92" si="4">D86/D$71</f>
        <v>0</v>
      </c>
      <c r="E91" s="211">
        <f t="shared" si="4"/>
        <v>0</v>
      </c>
      <c r="F91" s="211">
        <f t="shared" si="4"/>
        <v>0</v>
      </c>
      <c r="G91" s="211">
        <f t="shared" si="4"/>
        <v>0</v>
      </c>
      <c r="H91" s="211">
        <f t="shared" si="4"/>
        <v>0</v>
      </c>
      <c r="I91" s="206"/>
      <c r="J91" s="206"/>
    </row>
    <row r="92" spans="1:10" s="152" customFormat="1" x14ac:dyDescent="0.25">
      <c r="A92" s="152" t="s">
        <v>132</v>
      </c>
      <c r="D92" s="212">
        <f t="shared" si="4"/>
        <v>0</v>
      </c>
      <c r="E92" s="212">
        <f t="shared" si="4"/>
        <v>0</v>
      </c>
      <c r="F92" s="212">
        <f t="shared" si="4"/>
        <v>0</v>
      </c>
      <c r="G92" s="212">
        <f t="shared" si="4"/>
        <v>0</v>
      </c>
      <c r="H92" s="212">
        <f t="shared" si="4"/>
        <v>0</v>
      </c>
      <c r="I92" s="206"/>
      <c r="J92" s="206"/>
    </row>
    <row r="93" spans="1:10" s="152" customFormat="1" x14ac:dyDescent="0.25">
      <c r="A93" s="152" t="s">
        <v>154</v>
      </c>
      <c r="D93" s="213">
        <f>D91-D92</f>
        <v>0</v>
      </c>
      <c r="E93" s="213">
        <f>E91-E92</f>
        <v>0</v>
      </c>
      <c r="F93" s="213">
        <f>F91-F92</f>
        <v>0</v>
      </c>
      <c r="G93" s="213">
        <f>G91-G92</f>
        <v>0</v>
      </c>
      <c r="H93" s="213">
        <f>H91-H92</f>
        <v>0</v>
      </c>
      <c r="I93" s="214"/>
      <c r="J93" s="214"/>
    </row>
    <row r="94" spans="1:10" s="152" customFormat="1" x14ac:dyDescent="0.25">
      <c r="D94" s="209"/>
      <c r="E94" s="209"/>
      <c r="F94" s="209"/>
      <c r="G94" s="209"/>
      <c r="H94" s="209"/>
      <c r="I94" s="208"/>
      <c r="J94" s="208"/>
    </row>
    <row r="95" spans="1:10" s="152" customFormat="1" x14ac:dyDescent="0.25">
      <c r="A95" s="152" t="s">
        <v>155</v>
      </c>
      <c r="D95" s="215">
        <f>D93/D69</f>
        <v>0</v>
      </c>
      <c r="E95" s="215">
        <f>E93/E69</f>
        <v>0</v>
      </c>
      <c r="F95" s="215">
        <f>F93/F69</f>
        <v>0</v>
      </c>
      <c r="G95" s="215">
        <f>G93/G69</f>
        <v>0</v>
      </c>
      <c r="H95" s="215">
        <f>H93/H69</f>
        <v>0</v>
      </c>
      <c r="I95" s="161"/>
      <c r="J95" s="161"/>
    </row>
    <row r="96" spans="1:10" x14ac:dyDescent="0.25">
      <c r="I96" s="157"/>
      <c r="J96" s="157"/>
    </row>
    <row r="97" spans="1:10" x14ac:dyDescent="0.25">
      <c r="I97" s="157"/>
      <c r="J97" s="157"/>
    </row>
    <row r="98" spans="1:10" x14ac:dyDescent="0.25">
      <c r="A98" s="178"/>
      <c r="B98" s="178"/>
      <c r="C98" s="178"/>
      <c r="D98" s="178"/>
      <c r="E98" s="178"/>
      <c r="F98" s="178"/>
      <c r="G98" s="178"/>
      <c r="H98" s="178"/>
      <c r="I98" s="157"/>
      <c r="J98" s="157"/>
    </row>
    <row r="99" spans="1:10" x14ac:dyDescent="0.25">
      <c r="A99" s="133"/>
      <c r="I99" s="157"/>
      <c r="J99" s="157"/>
    </row>
    <row r="100" spans="1:10" x14ac:dyDescent="0.25">
      <c r="A100" s="162" t="s">
        <v>156</v>
      </c>
      <c r="I100" s="157"/>
      <c r="J100" s="157"/>
    </row>
    <row r="101" spans="1:10" x14ac:dyDescent="0.25">
      <c r="A101" s="130" t="s">
        <v>157</v>
      </c>
      <c r="B101" s="216"/>
      <c r="C101" s="217"/>
      <c r="D101" s="134">
        <v>2006</v>
      </c>
      <c r="E101" s="134">
        <v>2007</v>
      </c>
      <c r="F101" s="134">
        <v>2008</v>
      </c>
      <c r="G101" s="134">
        <v>2009</v>
      </c>
      <c r="H101" s="134">
        <v>2010</v>
      </c>
      <c r="I101" s="216"/>
      <c r="J101" s="216"/>
    </row>
    <row r="102" spans="1:10" x14ac:dyDescent="0.25">
      <c r="A102" s="133"/>
      <c r="B102" s="157"/>
      <c r="C102" s="157"/>
      <c r="I102" s="157"/>
      <c r="J102" s="157"/>
    </row>
    <row r="103" spans="1:10" x14ac:dyDescent="0.25">
      <c r="A103" s="128" t="s">
        <v>158</v>
      </c>
      <c r="B103" s="157"/>
      <c r="C103" s="157"/>
      <c r="I103" s="157"/>
      <c r="J103" s="157"/>
    </row>
    <row r="104" spans="1:10" x14ac:dyDescent="0.25">
      <c r="A104" s="155" t="s">
        <v>159</v>
      </c>
      <c r="B104" s="218"/>
      <c r="C104" s="219"/>
      <c r="D104" s="220">
        <f>D349*J349/1000</f>
        <v>1226.0000000000002</v>
      </c>
      <c r="E104" s="220">
        <f>E349*K349/1000</f>
        <v>1245.0000000000005</v>
      </c>
      <c r="F104" s="220">
        <f>F349*L349/1000</f>
        <v>1228</v>
      </c>
      <c r="G104" s="220">
        <f>G349*M349/1000</f>
        <v>1210.0870228849401</v>
      </c>
      <c r="H104" s="220">
        <f>H349*N349/1000</f>
        <v>1193.4952009413314</v>
      </c>
      <c r="I104" s="221"/>
      <c r="J104" s="221"/>
    </row>
    <row r="105" spans="1:10" x14ac:dyDescent="0.25">
      <c r="A105" s="155" t="s">
        <v>90</v>
      </c>
      <c r="B105" s="220"/>
      <c r="C105" s="219"/>
      <c r="D105" s="220">
        <f>D350/1000</f>
        <v>420</v>
      </c>
      <c r="E105" s="220">
        <f>E350/1000</f>
        <v>420</v>
      </c>
      <c r="F105" s="220">
        <f>F350/1000</f>
        <v>420</v>
      </c>
      <c r="G105" s="220">
        <f>G350/1000</f>
        <v>420</v>
      </c>
      <c r="H105" s="220">
        <f>H350/1000</f>
        <v>420</v>
      </c>
      <c r="I105" s="220"/>
      <c r="J105" s="220"/>
    </row>
    <row r="106" spans="1:10" x14ac:dyDescent="0.25">
      <c r="A106" s="222" t="s">
        <v>45</v>
      </c>
      <c r="B106" s="220"/>
      <c r="C106" s="219"/>
      <c r="D106" s="223">
        <f>SUM(D104:D105)</f>
        <v>1646.0000000000002</v>
      </c>
      <c r="E106" s="223">
        <f>SUM(E104:E105)</f>
        <v>1665.0000000000005</v>
      </c>
      <c r="F106" s="223">
        <f>SUM(F104:F105)</f>
        <v>1648</v>
      </c>
      <c r="G106" s="223">
        <f>SUM(G104:G105)</f>
        <v>1630.0870228849401</v>
      </c>
      <c r="H106" s="223">
        <f>SUM(H104:H105)</f>
        <v>1613.4952009413314</v>
      </c>
      <c r="I106" s="220"/>
      <c r="J106" s="220"/>
    </row>
    <row r="107" spans="1:10" x14ac:dyDescent="0.25">
      <c r="A107" s="133"/>
      <c r="B107" s="224"/>
      <c r="C107" s="219"/>
      <c r="D107" s="131"/>
      <c r="E107" s="131"/>
      <c r="F107" s="131"/>
      <c r="G107" s="131"/>
      <c r="H107" s="131"/>
      <c r="I107" s="220"/>
      <c r="J107" s="220"/>
    </row>
    <row r="108" spans="1:10" x14ac:dyDescent="0.25">
      <c r="A108" s="225" t="s">
        <v>160</v>
      </c>
      <c r="B108" s="226"/>
      <c r="C108" s="219"/>
      <c r="D108" s="227"/>
      <c r="E108" s="131"/>
      <c r="F108" s="131"/>
      <c r="G108" s="131"/>
      <c r="H108" s="131"/>
      <c r="I108" s="220"/>
      <c r="J108" s="220"/>
    </row>
    <row r="109" spans="1:10" x14ac:dyDescent="0.25">
      <c r="A109" t="s">
        <v>24</v>
      </c>
      <c r="B109" s="220"/>
      <c r="C109" s="219"/>
      <c r="D109" s="220">
        <f>(((D365*12+D367)*J370+(D365*4+D367)*J371)+((D366*12+D368)*J372+(D366*4+D368)*J373))/1000</f>
        <v>8217.7584121904783</v>
      </c>
      <c r="E109" s="220">
        <f>(((E365*12+E367)*K370+(E365*4+E367)*K371)+((E366*12+E368)*K372+(E366*4+E368)*K373))/1000</f>
        <v>8491.0986150406861</v>
      </c>
      <c r="F109" s="220">
        <f>(((F365*12+F367)*L370+(F365*4+F367)*L371)+((F366*12+F368)*L372+(F366*4+F368)*L373))/1000</f>
        <v>8814.3692569719806</v>
      </c>
      <c r="G109" s="220">
        <f>(((G365*12+G367)*M370+(G365*4+G367)*M371)+((G366*12+G368)*M372+(G366*4+G368)*M373))/1000</f>
        <v>9138.6753182674383</v>
      </c>
      <c r="H109" s="220">
        <f>(((H365*12+H367)*N370+(H365*4+H367)*N371)+((H366*12+H368)*N372+(H366*4+H368)*N373))/1000</f>
        <v>9474.2230899699407</v>
      </c>
      <c r="I109" s="221"/>
      <c r="J109" s="221"/>
    </row>
    <row r="110" spans="1:10" x14ac:dyDescent="0.25">
      <c r="A110" s="228" t="s">
        <v>161</v>
      </c>
      <c r="B110" s="226"/>
      <c r="C110" s="219"/>
      <c r="D110" s="220">
        <f>SUMPRODUCT(D356:D362,J356:J362)/1000</f>
        <v>524.07484200810632</v>
      </c>
      <c r="E110" s="220">
        <f>SUMPRODUCT(E356:E362,K356:K362)/1000</f>
        <v>303.58641847367193</v>
      </c>
      <c r="F110" s="220">
        <f>SUMPRODUCT(F356:F362,L356:L362)/1000</f>
        <v>1867.4575643420726</v>
      </c>
      <c r="G110" s="220">
        <f>SUMPRODUCT(G356:G362,M356:M362)/1000</f>
        <v>1895.4279681806904</v>
      </c>
      <c r="H110" s="220">
        <f>SUMPRODUCT(H356:H362,N356:N362)/1000</f>
        <v>1910.8057815440689</v>
      </c>
      <c r="I110" s="221"/>
      <c r="J110" s="221"/>
    </row>
    <row r="111" spans="1:10" x14ac:dyDescent="0.25">
      <c r="A111" s="157" t="s">
        <v>54</v>
      </c>
      <c r="B111" s="226"/>
      <c r="C111" s="219"/>
      <c r="D111" s="220">
        <f>SUM(D351,D375)/1000</f>
        <v>6244.4065512591296</v>
      </c>
      <c r="E111" s="220">
        <f>SUM(E351,E375)/1000</f>
        <v>6365.7623580535455</v>
      </c>
      <c r="F111" s="220">
        <f>SUM(F351,F375)/1000</f>
        <v>6365.7623580535455</v>
      </c>
      <c r="G111" s="220">
        <f>SUM(G351,G375)/1000</f>
        <v>6365.7623580535455</v>
      </c>
      <c r="H111" s="220">
        <f>SUM(H351,H375)/1000</f>
        <v>6365.7623580535455</v>
      </c>
      <c r="I111" s="221"/>
      <c r="J111" s="221"/>
    </row>
    <row r="112" spans="1:10" x14ac:dyDescent="0.25">
      <c r="A112" s="229" t="s">
        <v>45</v>
      </c>
      <c r="B112" s="220"/>
      <c r="C112" s="219"/>
      <c r="D112" s="223">
        <f>SUM(D109:D111)</f>
        <v>14986.239805457713</v>
      </c>
      <c r="E112" s="223">
        <f>SUM(E109:E111)</f>
        <v>15160.447391567903</v>
      </c>
      <c r="F112" s="223">
        <f>SUM(F109:F111)</f>
        <v>17047.589179367598</v>
      </c>
      <c r="G112" s="223">
        <f>SUM(G109:G111)</f>
        <v>17399.865644501675</v>
      </c>
      <c r="H112" s="223">
        <f>SUM(H109:H111)</f>
        <v>17750.791229567556</v>
      </c>
      <c r="I112" s="220"/>
      <c r="J112" s="220"/>
    </row>
    <row r="113" spans="1:10" x14ac:dyDescent="0.25">
      <c r="B113" s="220"/>
      <c r="C113" s="219"/>
      <c r="D113" s="131"/>
      <c r="E113" s="131"/>
      <c r="F113" s="131"/>
      <c r="G113" s="131"/>
      <c r="H113" s="131"/>
      <c r="I113" s="220"/>
      <c r="J113" s="220"/>
    </row>
    <row r="114" spans="1:10" x14ac:dyDescent="0.25">
      <c r="A114" s="155" t="s">
        <v>162</v>
      </c>
      <c r="B114" s="226"/>
      <c r="C114" s="219"/>
      <c r="D114" s="223">
        <f>SUM(D106,D112)</f>
        <v>16632.239805457713</v>
      </c>
      <c r="E114" s="223">
        <f>SUM(E106,E112)</f>
        <v>16825.447391567905</v>
      </c>
      <c r="F114" s="223">
        <f>SUM(F106,F112)</f>
        <v>18695.589179367598</v>
      </c>
      <c r="G114" s="223">
        <f>SUM(G106,G112)</f>
        <v>19029.952667386617</v>
      </c>
      <c r="H114" s="223">
        <f>SUM(H106,H112)</f>
        <v>19364.286430508888</v>
      </c>
      <c r="I114" s="220"/>
      <c r="J114" s="220"/>
    </row>
    <row r="115" spans="1:10" x14ac:dyDescent="0.25">
      <c r="A115" s="133"/>
      <c r="B115" s="224"/>
      <c r="C115" s="219"/>
      <c r="D115" s="218"/>
      <c r="E115" s="218"/>
      <c r="F115" s="218"/>
      <c r="G115" s="218"/>
      <c r="H115" s="218"/>
      <c r="I115" s="220"/>
      <c r="J115" s="220"/>
    </row>
    <row r="116" spans="1:10" x14ac:dyDescent="0.25">
      <c r="A116" s="230"/>
      <c r="B116" s="178"/>
      <c r="C116" s="178"/>
      <c r="D116" s="178"/>
      <c r="E116" s="178"/>
      <c r="F116" s="178"/>
      <c r="G116" s="178"/>
      <c r="H116" s="178"/>
      <c r="I116" s="157"/>
      <c r="J116" s="157"/>
    </row>
    <row r="117" spans="1:10" x14ac:dyDescent="0.25">
      <c r="I117" s="157"/>
      <c r="J117" s="157"/>
    </row>
    <row r="118" spans="1:10" x14ac:dyDescent="0.25">
      <c r="A118" s="133"/>
      <c r="B118" s="198"/>
      <c r="C118" s="198"/>
      <c r="D118" s="131"/>
      <c r="E118" s="131"/>
      <c r="F118" s="131"/>
      <c r="G118" s="131"/>
      <c r="H118" s="131"/>
      <c r="I118" s="220"/>
      <c r="J118" s="220"/>
    </row>
    <row r="119" spans="1:10" x14ac:dyDescent="0.25">
      <c r="A119" s="162" t="s">
        <v>163</v>
      </c>
      <c r="I119" s="157"/>
      <c r="J119" s="157"/>
    </row>
    <row r="120" spans="1:10" x14ac:dyDescent="0.25">
      <c r="A120" s="130" t="s">
        <v>157</v>
      </c>
      <c r="B120" s="216"/>
      <c r="D120" s="134">
        <v>2006</v>
      </c>
      <c r="E120" s="134">
        <v>2007</v>
      </c>
      <c r="F120" s="134">
        <v>2008</v>
      </c>
      <c r="G120" s="134">
        <v>2009</v>
      </c>
      <c r="H120" s="134">
        <v>2010</v>
      </c>
      <c r="I120" s="216"/>
      <c r="J120" s="216"/>
    </row>
    <row r="121" spans="1:10" x14ac:dyDescent="0.25">
      <c r="A121" s="155"/>
      <c r="B121" s="224"/>
      <c r="D121" s="130"/>
      <c r="E121" s="130"/>
      <c r="F121" s="130"/>
      <c r="G121" s="130"/>
      <c r="H121" s="130"/>
      <c r="I121" s="157"/>
      <c r="J121" s="157"/>
    </row>
    <row r="122" spans="1:10" x14ac:dyDescent="0.25">
      <c r="A122" s="155" t="s">
        <v>164</v>
      </c>
      <c r="B122" s="231"/>
      <c r="D122" s="220">
        <f>(D323*J323+D332*J332)/1000</f>
        <v>892.71812499999999</v>
      </c>
      <c r="E122" s="220">
        <f>(E323*K323+E332*K332)/1000</f>
        <v>0</v>
      </c>
      <c r="F122" s="220">
        <f>(F323*L323+F332*L332)/1000</f>
        <v>0</v>
      </c>
      <c r="G122" s="220">
        <f>(G323*M323+G332*M332)/1000</f>
        <v>0</v>
      </c>
      <c r="H122" s="220">
        <f>(H323*N323+H332*N332)/1000</f>
        <v>0</v>
      </c>
      <c r="I122" s="221"/>
      <c r="J122" s="221"/>
    </row>
    <row r="123" spans="1:10" x14ac:dyDescent="0.25">
      <c r="A123" s="155" t="s">
        <v>165</v>
      </c>
      <c r="B123" s="231"/>
      <c r="D123" s="220">
        <f>(SUMPRODUCT(D325:D329,J325:J329)+SUMPRODUCT(D334:D338,J334:J338))/1000</f>
        <v>5971.3752462159355</v>
      </c>
      <c r="E123" s="220">
        <f>(SUMPRODUCT(E325:E329,K325:K329)+SUMPRODUCT(E334:E338,K334:K338))/1000</f>
        <v>6095.833017483239</v>
      </c>
      <c r="F123" s="220">
        <f>(SUMPRODUCT(F325:F329,L325:L329)+SUMPRODUCT(F334:F338,L334:L338))/1000</f>
        <v>27944.629743782363</v>
      </c>
      <c r="G123" s="220">
        <f>(SUMPRODUCT(G325:G329,M325:M329)+SUMPRODUCT(G334:G338,M334:M338))/1000</f>
        <v>28173.435027392858</v>
      </c>
      <c r="H123" s="220">
        <f>(SUMPRODUCT(H325:H329,N325:N329)+SUMPRODUCT(H334:H338,N334:N338))/1000</f>
        <v>28345.669719171659</v>
      </c>
      <c r="I123" s="221"/>
      <c r="J123" s="221"/>
    </row>
    <row r="124" spans="1:10" x14ac:dyDescent="0.25">
      <c r="A124" s="155" t="s">
        <v>4</v>
      </c>
      <c r="B124" s="232"/>
      <c r="D124" s="538">
        <v>0</v>
      </c>
      <c r="E124" s="538">
        <v>0</v>
      </c>
      <c r="F124" s="538">
        <v>0</v>
      </c>
      <c r="G124" s="538">
        <v>0</v>
      </c>
      <c r="H124" s="538">
        <v>0</v>
      </c>
      <c r="I124" s="221"/>
      <c r="J124" s="221"/>
    </row>
    <row r="125" spans="1:10" x14ac:dyDescent="0.25">
      <c r="A125" s="229" t="s">
        <v>166</v>
      </c>
      <c r="B125" s="233"/>
      <c r="D125" s="223">
        <f>D122+D123-D124</f>
        <v>6864.0933712159358</v>
      </c>
      <c r="E125" s="223">
        <f>E122+E123-E124</f>
        <v>6095.833017483239</v>
      </c>
      <c r="F125" s="223">
        <f>F122+F123-F124</f>
        <v>27944.629743782363</v>
      </c>
      <c r="G125" s="223">
        <f>G122+G123-G124</f>
        <v>28173.435027392858</v>
      </c>
      <c r="H125" s="223">
        <f>H122+H123-H124</f>
        <v>28345.669719171659</v>
      </c>
      <c r="I125" s="220"/>
      <c r="J125" s="220"/>
    </row>
    <row r="126" spans="1:10" x14ac:dyDescent="0.25">
      <c r="A126" s="155"/>
      <c r="B126" s="232"/>
      <c r="D126" s="220"/>
      <c r="E126" s="220"/>
      <c r="F126" s="220"/>
      <c r="G126" s="220"/>
      <c r="H126" s="220"/>
      <c r="I126" s="220"/>
      <c r="J126" s="220"/>
    </row>
    <row r="127" spans="1:10" x14ac:dyDescent="0.25">
      <c r="A127" s="155" t="s">
        <v>90</v>
      </c>
      <c r="B127" s="231"/>
      <c r="D127" s="220">
        <f>D340/1000</f>
        <v>5730</v>
      </c>
      <c r="E127" s="220">
        <f>E340/1000</f>
        <v>5000</v>
      </c>
      <c r="F127" s="220">
        <f>F340/1000</f>
        <v>500</v>
      </c>
      <c r="G127" s="220">
        <f>G340/1000</f>
        <v>500</v>
      </c>
      <c r="H127" s="220">
        <f>H340/1000</f>
        <v>500</v>
      </c>
      <c r="I127" s="220"/>
      <c r="J127" s="220"/>
    </row>
    <row r="128" spans="1:10" x14ac:dyDescent="0.25">
      <c r="A128" s="157" t="s">
        <v>167</v>
      </c>
      <c r="B128" s="231"/>
      <c r="D128" s="220">
        <f>D342/1000</f>
        <v>750</v>
      </c>
      <c r="E128" s="220">
        <f>E342/1000</f>
        <v>50</v>
      </c>
      <c r="F128" s="220">
        <f>F342/1000</f>
        <v>100</v>
      </c>
      <c r="G128" s="220">
        <f>G342/1000</f>
        <v>50</v>
      </c>
      <c r="H128" s="220">
        <f>H342/1000</f>
        <v>50</v>
      </c>
      <c r="I128" s="221"/>
      <c r="J128" s="221"/>
    </row>
    <row r="129" spans="1:10" x14ac:dyDescent="0.25">
      <c r="A129" s="155"/>
      <c r="B129" s="157"/>
      <c r="D129" s="234"/>
      <c r="E129" s="234"/>
      <c r="F129" s="234"/>
      <c r="G129" s="234"/>
      <c r="H129" s="234"/>
      <c r="I129" s="220"/>
      <c r="J129" s="220"/>
    </row>
    <row r="130" spans="1:10" x14ac:dyDescent="0.25">
      <c r="A130" s="155" t="s">
        <v>168</v>
      </c>
      <c r="B130" s="226"/>
      <c r="D130" s="223">
        <f>SUM(D125:D128)</f>
        <v>13344.093371215935</v>
      </c>
      <c r="E130" s="223">
        <f>SUM(E125:E128)</f>
        <v>11145.833017483239</v>
      </c>
      <c r="F130" s="223">
        <f>SUM(F125:F128)</f>
        <v>28544.629743782363</v>
      </c>
      <c r="G130" s="223">
        <f>SUM(G125:G128)</f>
        <v>28723.435027392858</v>
      </c>
      <c r="H130" s="223">
        <f>SUM(H125:H128)</f>
        <v>28895.669719171659</v>
      </c>
      <c r="I130" s="220"/>
      <c r="J130" s="220"/>
    </row>
    <row r="131" spans="1:10" x14ac:dyDescent="0.25">
      <c r="B131" s="224"/>
      <c r="D131" s="218"/>
      <c r="E131" s="218"/>
      <c r="F131" s="218"/>
      <c r="G131" s="218"/>
      <c r="H131" s="218"/>
      <c r="I131" s="157"/>
      <c r="J131" s="157"/>
    </row>
    <row r="132" spans="1:10" x14ac:dyDescent="0.25">
      <c r="A132" s="230"/>
      <c r="B132" s="178"/>
      <c r="C132" s="178"/>
      <c r="D132" s="178"/>
      <c r="E132" s="178"/>
      <c r="F132" s="178"/>
      <c r="G132" s="178"/>
      <c r="H132" s="178"/>
      <c r="I132" s="157"/>
      <c r="J132" s="157"/>
    </row>
    <row r="133" spans="1:10" x14ac:dyDescent="0.25">
      <c r="A133" s="133"/>
      <c r="I133" s="157"/>
      <c r="J133" s="157"/>
    </row>
    <row r="134" spans="1:10" x14ac:dyDescent="0.25">
      <c r="A134" s="133"/>
      <c r="I134" s="157"/>
      <c r="J134" s="157"/>
    </row>
    <row r="135" spans="1:10" x14ac:dyDescent="0.25">
      <c r="A135" s="235" t="s">
        <v>169</v>
      </c>
      <c r="B135" s="152"/>
      <c r="C135" s="152"/>
      <c r="D135" s="152"/>
      <c r="I135" s="157"/>
      <c r="J135" s="157"/>
    </row>
    <row r="136" spans="1:10" x14ac:dyDescent="0.25">
      <c r="A136" s="130" t="s">
        <v>157</v>
      </c>
      <c r="B136" s="130"/>
      <c r="C136" s="130"/>
      <c r="D136" s="134">
        <v>2006</v>
      </c>
      <c r="E136" s="134">
        <v>2007</v>
      </c>
      <c r="F136" s="134">
        <v>2008</v>
      </c>
      <c r="G136" s="134">
        <v>2009</v>
      </c>
      <c r="H136" s="134">
        <v>2010</v>
      </c>
      <c r="I136" s="216"/>
      <c r="J136" s="216"/>
    </row>
    <row r="137" spans="1:10" s="155" customFormat="1" x14ac:dyDescent="0.25">
      <c r="I137" s="157"/>
      <c r="J137" s="157"/>
    </row>
    <row r="138" spans="1:10" x14ac:dyDescent="0.25">
      <c r="A138" s="130" t="s">
        <v>170</v>
      </c>
      <c r="B138" s="155"/>
      <c r="C138" s="155"/>
      <c r="D138" s="155"/>
      <c r="E138" s="155"/>
      <c r="F138" s="155"/>
      <c r="G138" s="155"/>
      <c r="H138" s="155"/>
      <c r="I138" s="157"/>
      <c r="J138" s="157"/>
    </row>
    <row r="139" spans="1:10" x14ac:dyDescent="0.25">
      <c r="A139" s="155" t="s">
        <v>171</v>
      </c>
      <c r="B139" s="157"/>
      <c r="C139" s="157"/>
      <c r="D139" s="221">
        <v>0</v>
      </c>
      <c r="E139" s="234">
        <f>D143</f>
        <v>879.96500892857136</v>
      </c>
      <c r="F139" s="234">
        <f>E143</f>
        <v>854.45877678571424</v>
      </c>
      <c r="G139" s="234">
        <f>F143</f>
        <v>828.95254464285711</v>
      </c>
      <c r="H139" s="234">
        <f>G143</f>
        <v>803.44631249999998</v>
      </c>
      <c r="I139" s="220"/>
      <c r="J139" s="220"/>
    </row>
    <row r="140" spans="1:10" x14ac:dyDescent="0.25">
      <c r="A140" s="155" t="s">
        <v>172</v>
      </c>
      <c r="B140" s="157"/>
      <c r="C140" s="157"/>
      <c r="D140" s="234">
        <f>D122</f>
        <v>892.71812499999999</v>
      </c>
      <c r="E140" s="234">
        <f>E122</f>
        <v>0</v>
      </c>
      <c r="F140" s="234">
        <f>F122</f>
        <v>0</v>
      </c>
      <c r="G140" s="234">
        <f>G122</f>
        <v>0</v>
      </c>
      <c r="H140" s="234">
        <f>H122</f>
        <v>0</v>
      </c>
      <c r="I140" s="220"/>
      <c r="J140" s="220"/>
    </row>
    <row r="141" spans="1:10" x14ac:dyDescent="0.25">
      <c r="A141" s="126" t="s">
        <v>5</v>
      </c>
      <c r="B141" s="157"/>
      <c r="C141" s="157"/>
      <c r="D141" s="538">
        <v>0</v>
      </c>
      <c r="E141" s="538">
        <v>0</v>
      </c>
      <c r="F141" s="538">
        <v>0</v>
      </c>
      <c r="G141" s="538">
        <v>0</v>
      </c>
      <c r="H141" s="538">
        <v>0</v>
      </c>
      <c r="I141" s="220"/>
      <c r="J141" s="220"/>
    </row>
    <row r="142" spans="1:10" x14ac:dyDescent="0.25">
      <c r="A142" s="126" t="s">
        <v>137</v>
      </c>
      <c r="B142" s="157"/>
      <c r="C142" s="157"/>
      <c r="D142" s="220">
        <f>D215</f>
        <v>12.753116071428572</v>
      </c>
      <c r="E142" s="220">
        <f>E215</f>
        <v>25.506232142857144</v>
      </c>
      <c r="F142" s="220">
        <f>F215</f>
        <v>25.506232142857144</v>
      </c>
      <c r="G142" s="220">
        <f>G215</f>
        <v>25.506232142857144</v>
      </c>
      <c r="H142" s="220">
        <f>H215</f>
        <v>25.506232142857144</v>
      </c>
      <c r="I142" s="220"/>
      <c r="J142" s="220"/>
    </row>
    <row r="143" spans="1:10" x14ac:dyDescent="0.25">
      <c r="A143" s="155" t="s">
        <v>173</v>
      </c>
      <c r="B143" s="157"/>
      <c r="C143" s="157"/>
      <c r="D143" s="236">
        <f>D139+D140-D141-D142</f>
        <v>879.96500892857136</v>
      </c>
      <c r="E143" s="236">
        <f>E139+E140-E141-E142</f>
        <v>854.45877678571424</v>
      </c>
      <c r="F143" s="236">
        <f>F139+F140-F141-F142</f>
        <v>828.95254464285711</v>
      </c>
      <c r="G143" s="236">
        <f>G139+G140-G141-G142</f>
        <v>803.44631249999998</v>
      </c>
      <c r="H143" s="236">
        <f>H139+H140-H141-H142</f>
        <v>777.94008035714285</v>
      </c>
      <c r="I143" s="220"/>
      <c r="J143" s="220"/>
    </row>
    <row r="144" spans="1:10" x14ac:dyDescent="0.25">
      <c r="A144" s="155"/>
      <c r="B144" s="157"/>
      <c r="C144" s="157"/>
      <c r="D144" s="234"/>
      <c r="E144" s="234"/>
      <c r="F144" s="234"/>
      <c r="G144" s="234"/>
      <c r="H144" s="234"/>
      <c r="I144" s="220"/>
      <c r="J144" s="220"/>
    </row>
    <row r="145" spans="1:10" x14ac:dyDescent="0.25">
      <c r="A145" s="155" t="s">
        <v>174</v>
      </c>
      <c r="B145" s="157"/>
      <c r="C145" s="157"/>
      <c r="D145" s="234">
        <f>(D143+D139)/2</f>
        <v>439.98250446428568</v>
      </c>
      <c r="E145" s="234">
        <f>(E143+E139)/2</f>
        <v>867.21189285714286</v>
      </c>
      <c r="F145" s="234">
        <f>(F143+F139)/2</f>
        <v>841.70566071428561</v>
      </c>
      <c r="G145" s="234">
        <f>(G143+G139)/2</f>
        <v>816.1994285714286</v>
      </c>
      <c r="H145" s="234">
        <f>(H143+H139)/2</f>
        <v>790.69319642857135</v>
      </c>
      <c r="I145" s="220"/>
      <c r="J145" s="220"/>
    </row>
    <row r="146" spans="1:10" x14ac:dyDescent="0.25">
      <c r="A146" s="155"/>
      <c r="B146" s="155"/>
      <c r="C146" s="155"/>
      <c r="D146" s="155"/>
      <c r="E146" s="155"/>
      <c r="F146" s="155"/>
      <c r="G146" s="155"/>
      <c r="H146" s="155"/>
      <c r="I146" s="157"/>
      <c r="J146" s="157"/>
    </row>
    <row r="147" spans="1:10" x14ac:dyDescent="0.25">
      <c r="A147" s="155"/>
      <c r="B147" s="155"/>
      <c r="C147" s="155"/>
      <c r="D147" s="155"/>
      <c r="E147" s="155"/>
      <c r="F147" s="155"/>
      <c r="G147" s="155"/>
      <c r="H147" s="155"/>
      <c r="I147" s="157"/>
      <c r="J147" s="157"/>
    </row>
    <row r="148" spans="1:10" x14ac:dyDescent="0.25">
      <c r="A148" s="130" t="s">
        <v>175</v>
      </c>
      <c r="B148" s="155"/>
      <c r="C148" s="155"/>
      <c r="D148" s="155"/>
      <c r="E148" s="155"/>
      <c r="F148" s="155"/>
      <c r="G148" s="155"/>
      <c r="H148" s="155"/>
      <c r="I148" s="157"/>
      <c r="J148" s="157"/>
    </row>
    <row r="149" spans="1:10" x14ac:dyDescent="0.25">
      <c r="A149" s="155" t="s">
        <v>171</v>
      </c>
      <c r="B149" s="157"/>
      <c r="C149" s="157"/>
      <c r="D149" s="221">
        <v>0</v>
      </c>
      <c r="E149" s="234">
        <f>D153</f>
        <v>5672.8064839051385</v>
      </c>
      <c r="F149" s="234">
        <f>E153</f>
        <v>10866.710325892622</v>
      </c>
      <c r="G149" s="234">
        <f>F153</f>
        <v>36207.387756115953</v>
      </c>
      <c r="H149" s="234">
        <f>G153</f>
        <v>58970.967231391012</v>
      </c>
      <c r="I149" s="220"/>
      <c r="J149" s="220"/>
    </row>
    <row r="150" spans="1:10" x14ac:dyDescent="0.25">
      <c r="A150" s="155" t="s">
        <v>172</v>
      </c>
      <c r="B150" s="157"/>
      <c r="C150" s="157"/>
      <c r="D150" s="234">
        <f>D123-D124</f>
        <v>5971.3752462159355</v>
      </c>
      <c r="E150" s="234">
        <f>E123-E124</f>
        <v>6095.833017483239</v>
      </c>
      <c r="F150" s="234">
        <f>F123-F124</f>
        <v>27944.629743782363</v>
      </c>
      <c r="G150" s="234">
        <f>G123-G124</f>
        <v>28173.435027392858</v>
      </c>
      <c r="H150" s="234">
        <f>H123-H124</f>
        <v>28345.669719171659</v>
      </c>
      <c r="I150" s="220"/>
      <c r="J150" s="220"/>
    </row>
    <row r="151" spans="1:10" x14ac:dyDescent="0.25">
      <c r="A151" s="126" t="s">
        <v>5</v>
      </c>
      <c r="B151" s="157"/>
      <c r="C151" s="157"/>
      <c r="D151" s="538">
        <v>0</v>
      </c>
      <c r="E151" s="538">
        <v>0</v>
      </c>
      <c r="F151" s="538">
        <v>0</v>
      </c>
      <c r="G151" s="538">
        <v>0</v>
      </c>
      <c r="H151" s="538">
        <v>0</v>
      </c>
      <c r="I151" s="220"/>
      <c r="J151" s="220"/>
    </row>
    <row r="152" spans="1:10" x14ac:dyDescent="0.25">
      <c r="A152" s="126" t="s">
        <v>137</v>
      </c>
      <c r="B152" s="157"/>
      <c r="C152" s="157"/>
      <c r="D152" s="220">
        <f>D225</f>
        <v>298.56876231079679</v>
      </c>
      <c r="E152" s="220">
        <f>E225</f>
        <v>901.92917549575554</v>
      </c>
      <c r="F152" s="220">
        <f>F225</f>
        <v>2603.9523135590357</v>
      </c>
      <c r="G152" s="220">
        <f>G225</f>
        <v>5409.8555521177968</v>
      </c>
      <c r="H152" s="220">
        <f>H225</f>
        <v>8235.8107894460227</v>
      </c>
      <c r="I152" s="220"/>
      <c r="J152" s="220"/>
    </row>
    <row r="153" spans="1:10" x14ac:dyDescent="0.25">
      <c r="A153" s="155" t="s">
        <v>173</v>
      </c>
      <c r="B153" s="157"/>
      <c r="C153" s="157"/>
      <c r="D153" s="236">
        <f>D149+D150-D151-D152</f>
        <v>5672.8064839051385</v>
      </c>
      <c r="E153" s="236">
        <f>E149+E150-E151-E152</f>
        <v>10866.710325892622</v>
      </c>
      <c r="F153" s="236">
        <f>F149+F150-F151-F152</f>
        <v>36207.387756115953</v>
      </c>
      <c r="G153" s="236">
        <f>G149+G150-G151-G152</f>
        <v>58970.967231391012</v>
      </c>
      <c r="H153" s="236">
        <f>H149+H150-H151-H152</f>
        <v>79080.826161116653</v>
      </c>
      <c r="I153" s="220"/>
      <c r="J153" s="220"/>
    </row>
    <row r="154" spans="1:10" x14ac:dyDescent="0.25">
      <c r="A154" s="155"/>
      <c r="B154" s="157"/>
      <c r="C154" s="157"/>
      <c r="D154" s="234"/>
      <c r="E154" s="234"/>
      <c r="F154" s="234"/>
      <c r="G154" s="234"/>
      <c r="H154" s="234"/>
      <c r="I154" s="220"/>
      <c r="J154" s="220"/>
    </row>
    <row r="155" spans="1:10" x14ac:dyDescent="0.25">
      <c r="A155" s="155" t="s">
        <v>174</v>
      </c>
      <c r="B155" s="157"/>
      <c r="C155" s="157"/>
      <c r="D155" s="234">
        <f>(D153+D149)/2</f>
        <v>2836.4032419525693</v>
      </c>
      <c r="E155" s="234">
        <f>(E153+E149)/2</f>
        <v>8269.7584048988792</v>
      </c>
      <c r="F155" s="234">
        <f>(F153+F149)/2</f>
        <v>23537.049041004288</v>
      </c>
      <c r="G155" s="234">
        <f>(G153+G149)/2</f>
        <v>47589.177493753479</v>
      </c>
      <c r="H155" s="234">
        <f>(H153+H149)/2</f>
        <v>69025.896696253825</v>
      </c>
      <c r="I155" s="220"/>
      <c r="J155" s="220"/>
    </row>
    <row r="156" spans="1:10" x14ac:dyDescent="0.25">
      <c r="A156" s="155"/>
      <c r="B156" s="155"/>
      <c r="C156" s="155"/>
      <c r="E156" s="155"/>
      <c r="F156" s="155"/>
      <c r="G156" s="155"/>
      <c r="H156" s="155"/>
      <c r="I156" s="157"/>
      <c r="J156" s="157"/>
    </row>
    <row r="157" spans="1:10" x14ac:dyDescent="0.25">
      <c r="A157" s="155"/>
      <c r="B157" s="155"/>
      <c r="C157" s="155"/>
      <c r="D157" s="155"/>
      <c r="E157" s="155"/>
      <c r="F157" s="155"/>
      <c r="G157" s="155"/>
      <c r="H157" s="155"/>
      <c r="I157" s="157"/>
      <c r="J157" s="157"/>
    </row>
    <row r="158" spans="1:10" x14ac:dyDescent="0.25">
      <c r="A158" s="130" t="s">
        <v>90</v>
      </c>
      <c r="B158" s="155"/>
      <c r="C158" s="155"/>
      <c r="D158" s="155"/>
      <c r="E158" s="155"/>
      <c r="F158" s="155"/>
      <c r="G158" s="155"/>
      <c r="H158" s="155"/>
      <c r="I158" s="157"/>
      <c r="J158" s="157"/>
    </row>
    <row r="159" spans="1:10" x14ac:dyDescent="0.25">
      <c r="A159" s="155" t="s">
        <v>171</v>
      </c>
      <c r="B159" s="220"/>
      <c r="C159" s="220"/>
      <c r="D159" s="221">
        <v>0</v>
      </c>
      <c r="E159" s="234">
        <f>D163</f>
        <v>5157</v>
      </c>
      <c r="F159" s="234">
        <f>E163</f>
        <v>8511</v>
      </c>
      <c r="G159" s="234">
        <f>F163</f>
        <v>6815</v>
      </c>
      <c r="H159" s="234">
        <f>G163</f>
        <v>5019</v>
      </c>
      <c r="I159" s="220"/>
      <c r="J159" s="220"/>
    </row>
    <row r="160" spans="1:10" x14ac:dyDescent="0.25">
      <c r="A160" s="155" t="s">
        <v>172</v>
      </c>
      <c r="B160" s="220"/>
      <c r="C160" s="220"/>
      <c r="D160" s="234">
        <f>D127</f>
        <v>5730</v>
      </c>
      <c r="E160" s="234">
        <f>E127</f>
        <v>5000</v>
      </c>
      <c r="F160" s="234">
        <f>F127</f>
        <v>500</v>
      </c>
      <c r="G160" s="234">
        <f>G127</f>
        <v>500</v>
      </c>
      <c r="H160" s="234">
        <f>H127</f>
        <v>500</v>
      </c>
      <c r="I160" s="220"/>
      <c r="J160" s="220"/>
    </row>
    <row r="161" spans="1:10" x14ac:dyDescent="0.25">
      <c r="A161" s="126" t="s">
        <v>5</v>
      </c>
      <c r="B161" s="220"/>
      <c r="C161" s="220"/>
      <c r="D161" s="538">
        <v>0</v>
      </c>
      <c r="E161" s="538">
        <v>0</v>
      </c>
      <c r="F161" s="538">
        <v>0</v>
      </c>
      <c r="G161" s="538">
        <v>0</v>
      </c>
      <c r="H161" s="538">
        <v>0</v>
      </c>
      <c r="I161" s="220"/>
      <c r="J161" s="220"/>
    </row>
    <row r="162" spans="1:10" x14ac:dyDescent="0.25">
      <c r="A162" s="155" t="s">
        <v>176</v>
      </c>
      <c r="B162" s="220"/>
      <c r="C162" s="220"/>
      <c r="D162" s="220">
        <f>D235</f>
        <v>573</v>
      </c>
      <c r="E162" s="220">
        <f>E235</f>
        <v>1646</v>
      </c>
      <c r="F162" s="220">
        <f>F235</f>
        <v>2196</v>
      </c>
      <c r="G162" s="220">
        <f>G235</f>
        <v>2296</v>
      </c>
      <c r="H162" s="220">
        <f>H235</f>
        <v>2396</v>
      </c>
      <c r="I162" s="220"/>
      <c r="J162" s="220"/>
    </row>
    <row r="163" spans="1:10" x14ac:dyDescent="0.25">
      <c r="A163" s="155" t="s">
        <v>173</v>
      </c>
      <c r="B163" s="220"/>
      <c r="C163" s="220"/>
      <c r="D163" s="236">
        <f>D159+D160-D161-D162</f>
        <v>5157</v>
      </c>
      <c r="E163" s="236">
        <f>E159+E160-E161-E162</f>
        <v>8511</v>
      </c>
      <c r="F163" s="236">
        <f>F159+F160-F161-F162</f>
        <v>6815</v>
      </c>
      <c r="G163" s="236">
        <f>G159+G160-G161-G162</f>
        <v>5019</v>
      </c>
      <c r="H163" s="236">
        <f>H159+H160-H161-H162</f>
        <v>3123</v>
      </c>
      <c r="I163" s="220"/>
      <c r="J163" s="220"/>
    </row>
    <row r="164" spans="1:10" x14ac:dyDescent="0.25">
      <c r="A164" s="155"/>
      <c r="B164" s="220"/>
      <c r="C164" s="220"/>
      <c r="D164" s="234"/>
      <c r="E164" s="234"/>
      <c r="F164" s="234"/>
      <c r="G164" s="234"/>
      <c r="H164" s="234"/>
      <c r="I164" s="220"/>
      <c r="J164" s="220"/>
    </row>
    <row r="165" spans="1:10" x14ac:dyDescent="0.25">
      <c r="A165" s="155" t="s">
        <v>174</v>
      </c>
      <c r="B165" s="220"/>
      <c r="C165" s="220"/>
      <c r="D165" s="234">
        <f>(D163+D159)/2</f>
        <v>2578.5</v>
      </c>
      <c r="E165" s="234">
        <f>(E163+E159)/2</f>
        <v>6834</v>
      </c>
      <c r="F165" s="234">
        <f>(F163+F159)/2</f>
        <v>7663</v>
      </c>
      <c r="G165" s="234">
        <f>(G163+G159)/2</f>
        <v>5917</v>
      </c>
      <c r="H165" s="234">
        <f>(H163+H159)/2</f>
        <v>4071</v>
      </c>
      <c r="I165" s="220"/>
      <c r="J165" s="220"/>
    </row>
    <row r="166" spans="1:10" x14ac:dyDescent="0.25">
      <c r="A166" s="155"/>
      <c r="B166" s="155"/>
      <c r="C166" s="155"/>
      <c r="E166" s="155"/>
      <c r="F166" s="155"/>
      <c r="G166" s="155"/>
      <c r="H166" s="155"/>
      <c r="I166" s="157"/>
      <c r="J166" s="157"/>
    </row>
    <row r="167" spans="1:10" x14ac:dyDescent="0.25">
      <c r="A167" s="155"/>
      <c r="B167" s="155"/>
      <c r="C167" s="155"/>
      <c r="D167" s="155"/>
      <c r="E167" s="155"/>
      <c r="F167" s="155"/>
      <c r="G167" s="155"/>
      <c r="H167" s="155"/>
      <c r="I167" s="157"/>
      <c r="J167" s="157"/>
    </row>
    <row r="168" spans="1:10" x14ac:dyDescent="0.25">
      <c r="A168" s="130" t="s">
        <v>167</v>
      </c>
      <c r="B168" s="155"/>
      <c r="C168" s="155"/>
      <c r="D168" s="155"/>
      <c r="E168" s="155"/>
      <c r="F168" s="155"/>
      <c r="G168" s="155"/>
      <c r="H168" s="155"/>
      <c r="I168" s="157"/>
      <c r="J168" s="157"/>
    </row>
    <row r="169" spans="1:10" x14ac:dyDescent="0.25">
      <c r="A169" s="155" t="s">
        <v>171</v>
      </c>
      <c r="B169" s="220"/>
      <c r="C169" s="220"/>
      <c r="D169" s="221">
        <v>0</v>
      </c>
      <c r="E169" s="234">
        <f>D173</f>
        <v>675</v>
      </c>
      <c r="F169" s="234">
        <f>E173</f>
        <v>570</v>
      </c>
      <c r="G169" s="234">
        <f>F173</f>
        <v>500</v>
      </c>
      <c r="H169" s="234">
        <f>G173</f>
        <v>365</v>
      </c>
      <c r="I169" s="220"/>
      <c r="J169" s="220"/>
    </row>
    <row r="170" spans="1:10" x14ac:dyDescent="0.25">
      <c r="A170" s="155" t="s">
        <v>172</v>
      </c>
      <c r="B170" s="220"/>
      <c r="C170" s="220"/>
      <c r="D170" s="234">
        <f>D128</f>
        <v>750</v>
      </c>
      <c r="E170" s="234">
        <f>E128</f>
        <v>50</v>
      </c>
      <c r="F170" s="234">
        <f>F128</f>
        <v>100</v>
      </c>
      <c r="G170" s="234">
        <f>G128</f>
        <v>50</v>
      </c>
      <c r="H170" s="234">
        <f>H128</f>
        <v>50</v>
      </c>
      <c r="I170" s="220"/>
      <c r="J170" s="220"/>
    </row>
    <row r="171" spans="1:10" x14ac:dyDescent="0.25">
      <c r="A171" s="126" t="s">
        <v>5</v>
      </c>
      <c r="B171" s="220"/>
      <c r="C171" s="220"/>
      <c r="D171" s="538">
        <v>0</v>
      </c>
      <c r="E171" s="538">
        <v>0</v>
      </c>
      <c r="F171" s="538">
        <v>0</v>
      </c>
      <c r="G171" s="538">
        <v>0</v>
      </c>
      <c r="H171" s="538">
        <v>0</v>
      </c>
      <c r="I171" s="220"/>
      <c r="J171" s="220"/>
    </row>
    <row r="172" spans="1:10" x14ac:dyDescent="0.25">
      <c r="A172" s="155" t="s">
        <v>176</v>
      </c>
      <c r="B172" s="220"/>
      <c r="C172" s="220"/>
      <c r="D172" s="220">
        <f>D245</f>
        <v>75</v>
      </c>
      <c r="E172" s="220">
        <f>E245</f>
        <v>155</v>
      </c>
      <c r="F172" s="220">
        <f>F245</f>
        <v>170</v>
      </c>
      <c r="G172" s="220">
        <f>G245</f>
        <v>185</v>
      </c>
      <c r="H172" s="220">
        <f>H245</f>
        <v>195</v>
      </c>
      <c r="I172" s="220"/>
      <c r="J172" s="220"/>
    </row>
    <row r="173" spans="1:10" x14ac:dyDescent="0.25">
      <c r="A173" s="155" t="s">
        <v>173</v>
      </c>
      <c r="B173" s="220"/>
      <c r="C173" s="220"/>
      <c r="D173" s="236">
        <f>D169+D170-D171-D172</f>
        <v>675</v>
      </c>
      <c r="E173" s="236">
        <f>E169+E170-E171-E172</f>
        <v>570</v>
      </c>
      <c r="F173" s="236">
        <f>F169+F170-F171-F172</f>
        <v>500</v>
      </c>
      <c r="G173" s="236">
        <f>G169+G170-G171-G172</f>
        <v>365</v>
      </c>
      <c r="H173" s="236">
        <f>H169+H170-H171-H172</f>
        <v>220</v>
      </c>
      <c r="I173" s="220"/>
      <c r="J173" s="220"/>
    </row>
    <row r="174" spans="1:10" x14ac:dyDescent="0.25">
      <c r="A174" s="155"/>
      <c r="B174" s="220"/>
      <c r="C174" s="220"/>
      <c r="D174" s="234"/>
      <c r="E174" s="234"/>
      <c r="F174" s="234"/>
      <c r="G174" s="234"/>
      <c r="H174" s="234"/>
      <c r="I174" s="220"/>
      <c r="J174" s="220"/>
    </row>
    <row r="175" spans="1:10" x14ac:dyDescent="0.25">
      <c r="A175" s="155" t="s">
        <v>174</v>
      </c>
      <c r="B175" s="220"/>
      <c r="C175" s="220"/>
      <c r="D175" s="234">
        <f>(D173+D169)/2</f>
        <v>337.5</v>
      </c>
      <c r="E175" s="234">
        <f>(E173+E169)/2</f>
        <v>622.5</v>
      </c>
      <c r="F175" s="234">
        <f>(F173+F169)/2</f>
        <v>535</v>
      </c>
      <c r="G175" s="234">
        <f>(G173+G169)/2</f>
        <v>432.5</v>
      </c>
      <c r="H175" s="234">
        <f>(H173+H169)/2</f>
        <v>292.5</v>
      </c>
      <c r="I175" s="220"/>
      <c r="J175" s="220"/>
    </row>
    <row r="176" spans="1:10" x14ac:dyDescent="0.25">
      <c r="A176" s="155"/>
      <c r="B176" s="220"/>
      <c r="C176" s="220"/>
      <c r="D176" s="234"/>
      <c r="E176" s="234"/>
      <c r="F176" s="234"/>
      <c r="G176" s="234"/>
      <c r="H176" s="234"/>
      <c r="I176" s="220"/>
      <c r="J176" s="220"/>
    </row>
    <row r="177" spans="1:10" x14ac:dyDescent="0.25">
      <c r="A177" s="155"/>
      <c r="B177" s="220"/>
      <c r="C177" s="220"/>
      <c r="D177" s="234"/>
      <c r="E177" s="234"/>
      <c r="F177" s="234"/>
      <c r="G177" s="234"/>
      <c r="H177" s="234"/>
      <c r="I177" s="220"/>
      <c r="J177" s="220"/>
    </row>
    <row r="178" spans="1:10" x14ac:dyDescent="0.25">
      <c r="A178" s="130" t="s">
        <v>45</v>
      </c>
      <c r="B178" s="234"/>
      <c r="C178" s="234"/>
      <c r="D178" s="234"/>
      <c r="E178" s="234"/>
      <c r="F178" s="234"/>
      <c r="G178" s="234"/>
      <c r="H178" s="234"/>
      <c r="I178" s="220"/>
      <c r="J178" s="220"/>
    </row>
    <row r="179" spans="1:10" x14ac:dyDescent="0.25">
      <c r="A179" s="155" t="s">
        <v>171</v>
      </c>
      <c r="B179" s="234"/>
      <c r="C179" s="234"/>
      <c r="D179" s="234">
        <f t="shared" ref="D179:H183" si="5">SUM(D139,D149,D159,D169)</f>
        <v>0</v>
      </c>
      <c r="E179" s="234">
        <f t="shared" si="5"/>
        <v>12384.77149283371</v>
      </c>
      <c r="F179" s="234">
        <f t="shared" si="5"/>
        <v>20802.169102678337</v>
      </c>
      <c r="G179" s="234">
        <f t="shared" si="5"/>
        <v>44351.340300758813</v>
      </c>
      <c r="H179" s="234">
        <f t="shared" si="5"/>
        <v>65158.413543891009</v>
      </c>
      <c r="I179" s="220"/>
      <c r="J179" s="220"/>
    </row>
    <row r="180" spans="1:10" x14ac:dyDescent="0.25">
      <c r="A180" s="155" t="s">
        <v>172</v>
      </c>
      <c r="B180" s="234"/>
      <c r="C180" s="234"/>
      <c r="D180" s="234">
        <f t="shared" si="5"/>
        <v>13344.093371215935</v>
      </c>
      <c r="E180" s="234">
        <f t="shared" si="5"/>
        <v>11145.833017483239</v>
      </c>
      <c r="F180" s="234">
        <f t="shared" si="5"/>
        <v>28544.629743782363</v>
      </c>
      <c r="G180" s="234">
        <f t="shared" si="5"/>
        <v>28723.435027392858</v>
      </c>
      <c r="H180" s="234">
        <f t="shared" si="5"/>
        <v>28895.669719171659</v>
      </c>
      <c r="I180" s="220"/>
      <c r="J180" s="220"/>
    </row>
    <row r="181" spans="1:10" x14ac:dyDescent="0.25">
      <c r="A181" s="155" t="s">
        <v>177</v>
      </c>
      <c r="B181" s="234"/>
      <c r="C181" s="234"/>
      <c r="D181" s="234">
        <f t="shared" si="5"/>
        <v>0</v>
      </c>
      <c r="E181" s="234">
        <f t="shared" si="5"/>
        <v>0</v>
      </c>
      <c r="F181" s="234">
        <f t="shared" si="5"/>
        <v>0</v>
      </c>
      <c r="G181" s="234">
        <f t="shared" si="5"/>
        <v>0</v>
      </c>
      <c r="H181" s="234">
        <f t="shared" si="5"/>
        <v>0</v>
      </c>
      <c r="I181" s="220"/>
      <c r="J181" s="220"/>
    </row>
    <row r="182" spans="1:10" x14ac:dyDescent="0.25">
      <c r="A182" s="155" t="s">
        <v>176</v>
      </c>
      <c r="B182" s="234"/>
      <c r="C182" s="234"/>
      <c r="D182" s="234">
        <f t="shared" si="5"/>
        <v>959.32187838222535</v>
      </c>
      <c r="E182" s="234">
        <f t="shared" si="5"/>
        <v>2728.4354076386126</v>
      </c>
      <c r="F182" s="234">
        <f t="shared" si="5"/>
        <v>4995.4585457018929</v>
      </c>
      <c r="G182" s="234">
        <f t="shared" si="5"/>
        <v>7916.3617842606536</v>
      </c>
      <c r="H182" s="234">
        <f t="shared" si="5"/>
        <v>10852.31702158888</v>
      </c>
      <c r="I182" s="220"/>
      <c r="J182" s="220"/>
    </row>
    <row r="183" spans="1:10" x14ac:dyDescent="0.25">
      <c r="A183" s="155" t="s">
        <v>173</v>
      </c>
      <c r="B183" s="234"/>
      <c r="C183" s="234"/>
      <c r="D183" s="236">
        <f t="shared" si="5"/>
        <v>12384.77149283371</v>
      </c>
      <c r="E183" s="236">
        <f t="shared" si="5"/>
        <v>20802.169102678337</v>
      </c>
      <c r="F183" s="236">
        <f t="shared" si="5"/>
        <v>44351.340300758813</v>
      </c>
      <c r="G183" s="236">
        <f t="shared" si="5"/>
        <v>65158.413543891009</v>
      </c>
      <c r="H183" s="236">
        <f t="shared" si="5"/>
        <v>83201.766241473801</v>
      </c>
      <c r="I183" s="220"/>
      <c r="J183" s="220"/>
    </row>
    <row r="184" spans="1:10" x14ac:dyDescent="0.25">
      <c r="A184" s="155"/>
      <c r="B184" s="234"/>
      <c r="C184" s="234"/>
      <c r="D184" s="234"/>
      <c r="E184" s="234"/>
      <c r="F184" s="234"/>
      <c r="G184" s="234"/>
      <c r="H184" s="234"/>
      <c r="I184" s="220"/>
      <c r="J184" s="220"/>
    </row>
    <row r="185" spans="1:10" x14ac:dyDescent="0.25">
      <c r="A185" s="155" t="s">
        <v>174</v>
      </c>
      <c r="B185" s="234"/>
      <c r="C185" s="234"/>
      <c r="D185" s="234">
        <f>SUM(D145,D155,D165,D175)</f>
        <v>6192.385746416855</v>
      </c>
      <c r="E185" s="234">
        <f>SUM(E145,E155,E165,E175)</f>
        <v>16593.470297756023</v>
      </c>
      <c r="F185" s="234">
        <f>SUM(F145,F155,F165,F175)</f>
        <v>32576.754701718572</v>
      </c>
      <c r="G185" s="234">
        <f>SUM(G145,G155,G165,G175)</f>
        <v>54754.876922324911</v>
      </c>
      <c r="H185" s="234">
        <f>SUM(H145,H155,H165,H175)</f>
        <v>74180.089892682401</v>
      </c>
      <c r="I185" s="220"/>
      <c r="J185" s="220"/>
    </row>
    <row r="186" spans="1:10" x14ac:dyDescent="0.25">
      <c r="D186" s="237"/>
      <c r="E186" s="237"/>
      <c r="F186" s="237"/>
      <c r="G186" s="237"/>
      <c r="H186" s="237"/>
      <c r="I186" s="195"/>
      <c r="J186" s="195"/>
    </row>
    <row r="187" spans="1:10" x14ac:dyDescent="0.25">
      <c r="A187" s="128" t="s">
        <v>178</v>
      </c>
      <c r="I187" s="157"/>
      <c r="J187" s="157"/>
    </row>
    <row r="188" spans="1:10" x14ac:dyDescent="0.25">
      <c r="D188" s="238">
        <v>2006</v>
      </c>
      <c r="E188" s="238">
        <v>2007</v>
      </c>
      <c r="F188" s="238">
        <v>2008</v>
      </c>
      <c r="G188" s="238">
        <v>2009</v>
      </c>
      <c r="H188" s="238">
        <v>2010</v>
      </c>
      <c r="I188" s="239"/>
      <c r="J188" s="239"/>
    </row>
    <row r="189" spans="1:10" x14ac:dyDescent="0.25">
      <c r="A189" s="127" t="s">
        <v>179</v>
      </c>
      <c r="I189" s="157"/>
      <c r="J189" s="157"/>
    </row>
    <row r="190" spans="1:10" x14ac:dyDescent="0.25">
      <c r="A190" s="240" t="s">
        <v>170</v>
      </c>
      <c r="D190" s="539">
        <v>35</v>
      </c>
      <c r="E190" s="539">
        <v>35</v>
      </c>
      <c r="F190" s="539">
        <v>35</v>
      </c>
      <c r="G190" s="539">
        <v>35</v>
      </c>
      <c r="H190" s="539">
        <v>35</v>
      </c>
      <c r="I190" s="241"/>
      <c r="J190" s="241"/>
    </row>
    <row r="191" spans="1:10" x14ac:dyDescent="0.25">
      <c r="A191" s="240" t="s">
        <v>175</v>
      </c>
      <c r="D191" s="539">
        <v>10</v>
      </c>
      <c r="E191" s="539">
        <v>10</v>
      </c>
      <c r="F191" s="539">
        <v>10</v>
      </c>
      <c r="G191" s="539">
        <v>10</v>
      </c>
      <c r="H191" s="539">
        <v>10</v>
      </c>
      <c r="I191" s="241"/>
      <c r="J191" s="241"/>
    </row>
    <row r="192" spans="1:10" x14ac:dyDescent="0.25">
      <c r="A192" s="131" t="s">
        <v>90</v>
      </c>
      <c r="D192" s="539">
        <v>5</v>
      </c>
      <c r="E192" s="539">
        <v>5</v>
      </c>
      <c r="F192" s="539">
        <v>5</v>
      </c>
      <c r="G192" s="539">
        <v>5</v>
      </c>
      <c r="H192" s="539">
        <v>5</v>
      </c>
      <c r="I192" s="241"/>
      <c r="J192" s="241"/>
    </row>
    <row r="193" spans="1:10" x14ac:dyDescent="0.25">
      <c r="A193" s="131" t="s">
        <v>167</v>
      </c>
      <c r="D193" s="539">
        <v>5</v>
      </c>
      <c r="E193" s="539">
        <v>5</v>
      </c>
      <c r="F193" s="539">
        <v>5</v>
      </c>
      <c r="G193" s="539">
        <v>5</v>
      </c>
      <c r="H193" s="539">
        <v>5</v>
      </c>
      <c r="I193" s="241"/>
      <c r="J193" s="241"/>
    </row>
    <row r="194" spans="1:10" x14ac:dyDescent="0.25">
      <c r="I194" s="157"/>
      <c r="J194" s="157"/>
    </row>
    <row r="195" spans="1:10" s="152" customFormat="1" x14ac:dyDescent="0.25">
      <c r="I195" s="157"/>
      <c r="J195" s="157"/>
    </row>
    <row r="196" spans="1:10" s="190" customFormat="1" x14ac:dyDescent="0.25">
      <c r="A196" s="162" t="s">
        <v>180</v>
      </c>
      <c r="I196" s="242"/>
      <c r="J196" s="242"/>
    </row>
    <row r="197" spans="1:10" s="190" customFormat="1" x14ac:dyDescent="0.25">
      <c r="I197" s="242"/>
      <c r="J197" s="242"/>
    </row>
    <row r="198" spans="1:10" s="190" customFormat="1" x14ac:dyDescent="0.25">
      <c r="A198" s="243" t="s">
        <v>181</v>
      </c>
      <c r="D198" s="244">
        <v>2006</v>
      </c>
      <c r="E198" s="244">
        <v>2007</v>
      </c>
      <c r="F198" s="244">
        <v>2008</v>
      </c>
      <c r="G198" s="244">
        <v>2009</v>
      </c>
      <c r="H198" s="244">
        <v>2010</v>
      </c>
      <c r="I198" s="239"/>
      <c r="J198" s="239"/>
    </row>
    <row r="199" spans="1:10" s="190" customFormat="1" x14ac:dyDescent="0.25">
      <c r="B199" s="245">
        <v>2006</v>
      </c>
      <c r="D199" s="190">
        <v>0.5</v>
      </c>
      <c r="E199" s="190">
        <v>1.5</v>
      </c>
      <c r="F199" s="190">
        <v>2.5</v>
      </c>
      <c r="G199" s="190">
        <v>3.5</v>
      </c>
      <c r="H199" s="190">
        <v>4.5</v>
      </c>
      <c r="I199" s="242"/>
      <c r="J199" s="242"/>
    </row>
    <row r="200" spans="1:10" s="190" customFormat="1" x14ac:dyDescent="0.25">
      <c r="B200" s="245">
        <v>2007</v>
      </c>
      <c r="E200" s="190">
        <v>0.5</v>
      </c>
      <c r="F200" s="190">
        <v>1.5</v>
      </c>
      <c r="G200" s="190">
        <v>2.5</v>
      </c>
      <c r="H200" s="190">
        <v>3.5</v>
      </c>
      <c r="I200" s="242"/>
      <c r="J200" s="242"/>
    </row>
    <row r="201" spans="1:10" s="190" customFormat="1" x14ac:dyDescent="0.25">
      <c r="B201" s="245">
        <v>2008</v>
      </c>
      <c r="F201" s="190">
        <v>0.5</v>
      </c>
      <c r="G201" s="190">
        <v>1.5</v>
      </c>
      <c r="H201" s="190">
        <v>2.5</v>
      </c>
      <c r="I201" s="242"/>
      <c r="J201" s="242"/>
    </row>
    <row r="202" spans="1:10" s="190" customFormat="1" x14ac:dyDescent="0.25">
      <c r="B202" s="245">
        <v>2009</v>
      </c>
      <c r="G202" s="190">
        <v>0.5</v>
      </c>
      <c r="H202" s="190">
        <v>1.5</v>
      </c>
      <c r="I202" s="242"/>
      <c r="J202" s="242"/>
    </row>
    <row r="203" spans="1:10" s="190" customFormat="1" x14ac:dyDescent="0.25">
      <c r="B203" s="245">
        <v>2010</v>
      </c>
      <c r="H203" s="190">
        <v>0.5</v>
      </c>
      <c r="I203" s="242"/>
      <c r="J203" s="242"/>
    </row>
    <row r="204" spans="1:10" s="190" customFormat="1" x14ac:dyDescent="0.25">
      <c r="B204" s="245"/>
      <c r="I204" s="242"/>
      <c r="J204" s="242"/>
    </row>
    <row r="205" spans="1:10" s="190" customFormat="1" x14ac:dyDescent="0.25">
      <c r="B205" s="245"/>
      <c r="I205" s="242"/>
      <c r="J205" s="242"/>
    </row>
    <row r="206" spans="1:10" s="190" customFormat="1" x14ac:dyDescent="0.25">
      <c r="I206" s="242"/>
      <c r="J206" s="242"/>
    </row>
    <row r="207" spans="1:10" s="190" customFormat="1" x14ac:dyDescent="0.25">
      <c r="A207" s="240" t="s">
        <v>170</v>
      </c>
      <c r="C207" s="190" t="s">
        <v>182</v>
      </c>
      <c r="D207" s="244">
        <v>2006</v>
      </c>
      <c r="E207" s="244">
        <v>2007</v>
      </c>
      <c r="F207" s="244">
        <v>2008</v>
      </c>
      <c r="G207" s="244">
        <v>2009</v>
      </c>
      <c r="H207" s="244">
        <v>2010</v>
      </c>
      <c r="I207" s="239"/>
      <c r="J207" s="239"/>
    </row>
    <row r="208" spans="1:10" s="190" customFormat="1" x14ac:dyDescent="0.25">
      <c r="B208" s="245">
        <v>2006</v>
      </c>
      <c r="C208" s="246">
        <f>D$190</f>
        <v>35</v>
      </c>
      <c r="D208" s="247">
        <f>($D$140*0.5)/$C208</f>
        <v>12.753116071428572</v>
      </c>
      <c r="E208" s="247">
        <f>IF($C208&gt;E$199,$D$140/$C208,IF($C208&lt;=E$199,$D$140-SUM($D208:D208),0))</f>
        <v>25.506232142857144</v>
      </c>
      <c r="F208" s="247">
        <f>IF($C208&gt;F$199,$D$140/$C208,IF($C208&lt;=F$199,$D$140-SUM($D208:E208),0))</f>
        <v>25.506232142857144</v>
      </c>
      <c r="G208" s="247">
        <f>IF($C208&gt;G$199,$D$140/$C208,IF($C208&lt;=G$199,$D$140-SUM($D208:F208),0))</f>
        <v>25.506232142857144</v>
      </c>
      <c r="H208" s="247">
        <f>IF($C208&gt;H$199,$D$140/$C208,IF($C208&lt;=H$199,$D$140-SUM($D208:G208),0))</f>
        <v>25.506232142857144</v>
      </c>
      <c r="I208" s="248"/>
      <c r="J208" s="248"/>
    </row>
    <row r="209" spans="1:10" s="190" customFormat="1" x14ac:dyDescent="0.25">
      <c r="B209" s="245">
        <v>2007</v>
      </c>
      <c r="C209" s="246">
        <f>E$190</f>
        <v>35</v>
      </c>
      <c r="D209" s="247"/>
      <c r="E209" s="247">
        <f>($E$140*0.5)/$C209</f>
        <v>0</v>
      </c>
      <c r="F209" s="247">
        <f>IF($C209&gt;F$200,$E$140/$C209,IF($C209&lt;=F$200,$E$140-SUM($D209:E209),0))</f>
        <v>0</v>
      </c>
      <c r="G209" s="247">
        <f>IF($C209&gt;G$200,$E$140/$C209,IF($C209&lt;=G$200,$E$140-SUM($D209:F209),0))</f>
        <v>0</v>
      </c>
      <c r="H209" s="247">
        <f>IF($C209&gt;H$200,$E$140/$C209,IF($C209&lt;=H$200,$E$140-SUM($D209:G209),0))</f>
        <v>0</v>
      </c>
      <c r="I209" s="248"/>
      <c r="J209" s="248"/>
    </row>
    <row r="210" spans="1:10" s="190" customFormat="1" x14ac:dyDescent="0.25">
      <c r="B210" s="245">
        <v>2008</v>
      </c>
      <c r="C210" s="246">
        <f>F$190</f>
        <v>35</v>
      </c>
      <c r="D210" s="247"/>
      <c r="E210" s="247"/>
      <c r="F210" s="247">
        <f>($F$140*0.5)/$C210</f>
        <v>0</v>
      </c>
      <c r="G210" s="247">
        <f>IF($C210&gt;G$201,$F$140/$C210,IF($C210&lt;=G$201,$F$140-SUM($D210:F210),0))</f>
        <v>0</v>
      </c>
      <c r="H210" s="247">
        <f>IF($C210&gt;H$201,$F$140/$C210,IF($C210&lt;=H$201,$F$140-SUM($D210:G210),0))</f>
        <v>0</v>
      </c>
      <c r="I210" s="248"/>
      <c r="J210" s="248"/>
    </row>
    <row r="211" spans="1:10" s="190" customFormat="1" x14ac:dyDescent="0.25">
      <c r="B211" s="245">
        <v>2009</v>
      </c>
      <c r="C211" s="246">
        <f>G$190</f>
        <v>35</v>
      </c>
      <c r="D211" s="247"/>
      <c r="E211" s="247"/>
      <c r="F211" s="247"/>
      <c r="G211" s="247">
        <f>($G$140*0.5)/$C211</f>
        <v>0</v>
      </c>
      <c r="H211" s="247">
        <f>IF($C211&gt;H$202,$G$140/$C211,IF($C211&lt;=H$202,$G$140-SUM($D211:G211),0))</f>
        <v>0</v>
      </c>
      <c r="I211" s="248"/>
      <c r="J211" s="248"/>
    </row>
    <row r="212" spans="1:10" s="190" customFormat="1" x14ac:dyDescent="0.25">
      <c r="B212" s="245">
        <v>2010</v>
      </c>
      <c r="C212" s="246">
        <f>H$190</f>
        <v>35</v>
      </c>
      <c r="D212" s="247"/>
      <c r="E212" s="247"/>
      <c r="F212" s="247"/>
      <c r="G212" s="247"/>
      <c r="H212" s="247">
        <f>($H$140*0.5)/$C212</f>
        <v>0</v>
      </c>
      <c r="I212" s="248"/>
      <c r="J212" s="248"/>
    </row>
    <row r="213" spans="1:10" s="190" customFormat="1" x14ac:dyDescent="0.25">
      <c r="B213" s="245"/>
      <c r="C213" s="246"/>
      <c r="D213" s="249"/>
      <c r="E213" s="249"/>
      <c r="F213" s="249"/>
      <c r="G213" s="249"/>
      <c r="H213" s="249"/>
      <c r="I213" s="248"/>
      <c r="J213" s="248"/>
    </row>
    <row r="214" spans="1:10" s="190" customFormat="1" x14ac:dyDescent="0.25">
      <c r="B214" s="245"/>
      <c r="C214" s="246"/>
      <c r="D214" s="249"/>
      <c r="E214" s="249"/>
      <c r="F214" s="249"/>
      <c r="G214" s="249"/>
      <c r="H214" s="249"/>
      <c r="I214" s="242"/>
      <c r="J214" s="248"/>
    </row>
    <row r="215" spans="1:10" s="190" customFormat="1" x14ac:dyDescent="0.25">
      <c r="D215" s="250">
        <f>SUM(D208:D214)</f>
        <v>12.753116071428572</v>
      </c>
      <c r="E215" s="250">
        <f>SUM(E208:E214)</f>
        <v>25.506232142857144</v>
      </c>
      <c r="F215" s="250">
        <f>SUM(F208:F214)</f>
        <v>25.506232142857144</v>
      </c>
      <c r="G215" s="250">
        <f>SUM(G208:G214)</f>
        <v>25.506232142857144</v>
      </c>
      <c r="H215" s="250">
        <f>SUM(H208:H214)</f>
        <v>25.506232142857144</v>
      </c>
      <c r="I215" s="248"/>
      <c r="J215" s="248"/>
    </row>
    <row r="216" spans="1:10" s="190" customFormat="1" x14ac:dyDescent="0.25">
      <c r="D216" s="248"/>
      <c r="E216" s="248"/>
      <c r="F216" s="248"/>
      <c r="G216" s="248"/>
      <c r="H216" s="248"/>
      <c r="I216" s="242"/>
      <c r="J216" s="242"/>
    </row>
    <row r="217" spans="1:10" s="190" customFormat="1" x14ac:dyDescent="0.25">
      <c r="A217" s="240" t="s">
        <v>175</v>
      </c>
      <c r="C217" s="190" t="s">
        <v>182</v>
      </c>
      <c r="D217" s="244">
        <v>2006</v>
      </c>
      <c r="E217" s="244">
        <v>2007</v>
      </c>
      <c r="F217" s="244">
        <v>2008</v>
      </c>
      <c r="G217" s="244">
        <v>2009</v>
      </c>
      <c r="H217" s="244">
        <v>2010</v>
      </c>
      <c r="I217" s="239"/>
      <c r="J217" s="239"/>
    </row>
    <row r="218" spans="1:10" s="190" customFormat="1" x14ac:dyDescent="0.25">
      <c r="B218" s="245">
        <v>2006</v>
      </c>
      <c r="C218" s="246">
        <f>D$191</f>
        <v>10</v>
      </c>
      <c r="D218" s="247">
        <f>($D$150*0.5)/$C218</f>
        <v>298.56876231079679</v>
      </c>
      <c r="E218" s="247">
        <f>IF($C218&gt;E$199,$D$150/$C218,IF($C218&lt;=E$199,$D$150-SUM($D218:D218),0))</f>
        <v>597.13752462159357</v>
      </c>
      <c r="F218" s="247">
        <f>IF($C218&gt;F$199,$D$150/$C218,IF($C218&lt;=F$199,$D$150-SUM($D218:E218),0))</f>
        <v>597.13752462159357</v>
      </c>
      <c r="G218" s="247">
        <f>IF($C218&gt;G$199,$D$150/$C218,IF($C218&lt;=G$199,$D$150-SUM($D218:F218),0))</f>
        <v>597.13752462159357</v>
      </c>
      <c r="H218" s="247">
        <f>IF($C218&gt;H$199,$D$150/$C218,IF($C218&lt;=H$199,$D$150-SUM($D218:G218),0))</f>
        <v>597.13752462159357</v>
      </c>
      <c r="I218" s="248"/>
      <c r="J218" s="248"/>
    </row>
    <row r="219" spans="1:10" s="190" customFormat="1" x14ac:dyDescent="0.25">
      <c r="B219" s="245">
        <v>2007</v>
      </c>
      <c r="C219" s="246">
        <f>E$191</f>
        <v>10</v>
      </c>
      <c r="D219" s="247"/>
      <c r="E219" s="247">
        <f>($E$150*0.5)/$C219</f>
        <v>304.79165087416197</v>
      </c>
      <c r="F219" s="247">
        <f>IF($C219&gt;F$200,$E$150/$C219,IF($C219&lt;=F$200,$E$150-SUM($D219:E219),0))</f>
        <v>609.58330174832395</v>
      </c>
      <c r="G219" s="247">
        <f>IF($C219&gt;G$200,$E$150/$C219,IF($C219&lt;=G$200,$E$150-SUM($D219:F219),0))</f>
        <v>609.58330174832395</v>
      </c>
      <c r="H219" s="247">
        <f>IF($C219&gt;H$200,$E$150/$C219,IF($C219&lt;=H$200,$E$150-SUM($D219:G219),0))</f>
        <v>609.58330174832395</v>
      </c>
      <c r="I219" s="248"/>
      <c r="J219" s="248"/>
    </row>
    <row r="220" spans="1:10" s="190" customFormat="1" x14ac:dyDescent="0.25">
      <c r="B220" s="245">
        <v>2008</v>
      </c>
      <c r="C220" s="246">
        <f>F$191</f>
        <v>10</v>
      </c>
      <c r="D220" s="247"/>
      <c r="E220" s="247"/>
      <c r="F220" s="247">
        <f>($F$150*0.5)/$C220</f>
        <v>1397.2314871891181</v>
      </c>
      <c r="G220" s="247">
        <f>IF($C220&gt;G$201,$F$150/$C220,IF($C220&lt;=G$201,$F$150-SUM($D220:F220),0))</f>
        <v>2794.4629743782361</v>
      </c>
      <c r="H220" s="247">
        <f>IF($C220&gt;H$201,$F$150/$C220,IF($C220&lt;=H$201,$F$150-SUM($D220:G220),0))</f>
        <v>2794.4629743782361</v>
      </c>
      <c r="I220" s="248"/>
      <c r="J220" s="248"/>
    </row>
    <row r="221" spans="1:10" s="190" customFormat="1" x14ac:dyDescent="0.25">
      <c r="B221" s="245">
        <v>2009</v>
      </c>
      <c r="C221" s="246">
        <f>G$191</f>
        <v>10</v>
      </c>
      <c r="D221" s="247"/>
      <c r="E221" s="247"/>
      <c r="F221" s="247"/>
      <c r="G221" s="247">
        <f>($G$150*0.5)/$C221</f>
        <v>1408.6717513696428</v>
      </c>
      <c r="H221" s="247">
        <f>IF($C221&gt;H$202,$G$150/$C221,IF($C221&lt;=H$202,$G$150-SUM($D221:G221),0))</f>
        <v>2817.3435027392857</v>
      </c>
      <c r="I221" s="248"/>
      <c r="J221" s="248"/>
    </row>
    <row r="222" spans="1:10" s="190" customFormat="1" x14ac:dyDescent="0.25">
      <c r="B222" s="245">
        <v>2010</v>
      </c>
      <c r="C222" s="246">
        <f>H$191</f>
        <v>10</v>
      </c>
      <c r="D222" s="247"/>
      <c r="E222" s="247"/>
      <c r="F222" s="247"/>
      <c r="G222" s="247"/>
      <c r="H222" s="247">
        <f>($H$150*0.5)/$C222</f>
        <v>1417.283485958583</v>
      </c>
      <c r="I222" s="248"/>
      <c r="J222" s="248"/>
    </row>
    <row r="223" spans="1:10" s="190" customFormat="1" x14ac:dyDescent="0.25">
      <c r="B223" s="245"/>
      <c r="C223" s="246"/>
      <c r="D223" s="249"/>
      <c r="E223" s="249"/>
      <c r="F223" s="249"/>
      <c r="G223" s="249"/>
      <c r="H223" s="249"/>
      <c r="I223" s="248"/>
      <c r="J223" s="248"/>
    </row>
    <row r="224" spans="1:10" s="190" customFormat="1" x14ac:dyDescent="0.25">
      <c r="B224" s="245"/>
      <c r="C224" s="246"/>
      <c r="D224" s="249"/>
      <c r="E224" s="249"/>
      <c r="F224" s="249"/>
      <c r="G224" s="249"/>
      <c r="H224" s="249"/>
      <c r="I224" s="242"/>
      <c r="J224" s="248"/>
    </row>
    <row r="225" spans="1:10" s="190" customFormat="1" x14ac:dyDescent="0.25">
      <c r="D225" s="250">
        <f>SUM(D218:D224)</f>
        <v>298.56876231079679</v>
      </c>
      <c r="E225" s="250">
        <f>SUM(E218:E224)</f>
        <v>901.92917549575554</v>
      </c>
      <c r="F225" s="250">
        <f>SUM(F218:F224)</f>
        <v>2603.9523135590357</v>
      </c>
      <c r="G225" s="250">
        <f>SUM(G218:G224)</f>
        <v>5409.8555521177968</v>
      </c>
      <c r="H225" s="250">
        <f>SUM(H218:H224)</f>
        <v>8235.8107894460227</v>
      </c>
      <c r="I225" s="248"/>
      <c r="J225" s="248"/>
    </row>
    <row r="226" spans="1:10" s="190" customFormat="1" x14ac:dyDescent="0.25">
      <c r="I226" s="242"/>
      <c r="J226" s="242"/>
    </row>
    <row r="227" spans="1:10" s="190" customFormat="1" x14ac:dyDescent="0.25">
      <c r="A227" s="218" t="s">
        <v>90</v>
      </c>
      <c r="C227" s="190" t="s">
        <v>182</v>
      </c>
      <c r="D227" s="244">
        <v>2006</v>
      </c>
      <c r="E227" s="244">
        <v>2007</v>
      </c>
      <c r="F227" s="244">
        <v>2008</v>
      </c>
      <c r="G227" s="244">
        <v>2009</v>
      </c>
      <c r="H227" s="244">
        <v>2010</v>
      </c>
      <c r="I227" s="239"/>
      <c r="J227" s="239"/>
    </row>
    <row r="228" spans="1:10" s="190" customFormat="1" x14ac:dyDescent="0.25">
      <c r="B228" s="245">
        <v>2006</v>
      </c>
      <c r="C228" s="246">
        <f>D$192</f>
        <v>5</v>
      </c>
      <c r="D228" s="247">
        <f>($D$127*0.5)/$C228</f>
        <v>573</v>
      </c>
      <c r="E228" s="247">
        <f>IF($C228&gt;E$199,$D$127/$C228,IF($C228&lt;=E$199,$D$127-SUM($D228:D228),0))</f>
        <v>1146</v>
      </c>
      <c r="F228" s="247">
        <f>IF($C228&gt;F$199,$D$127/$C228,IF($C228&lt;=F$199,$D$127-SUM($D228:E228),0))</f>
        <v>1146</v>
      </c>
      <c r="G228" s="247">
        <f>IF($C228&gt;G$199,$D$127/$C228,IF($C228&lt;=G$199,$D$127-SUM($D228:F228),0))</f>
        <v>1146</v>
      </c>
      <c r="H228" s="247">
        <f>IF($C228&gt;H$199,$D$127/$C228,IF($C228&lt;=H$199,$D$127-SUM($D228:G228),0))</f>
        <v>1146</v>
      </c>
      <c r="I228" s="248"/>
      <c r="J228" s="248"/>
    </row>
    <row r="229" spans="1:10" s="190" customFormat="1" x14ac:dyDescent="0.25">
      <c r="B229" s="245">
        <v>2007</v>
      </c>
      <c r="C229" s="246">
        <f>E$192</f>
        <v>5</v>
      </c>
      <c r="D229" s="247"/>
      <c r="E229" s="247">
        <f>($E$127*0.5)/$C229</f>
        <v>500</v>
      </c>
      <c r="F229" s="247">
        <f>IF($C229&gt;F$200,$E$127/$C229,IF($C229&lt;=F$200,$E$127-SUM($D229:E229),0))</f>
        <v>1000</v>
      </c>
      <c r="G229" s="247">
        <f>IF($C229&gt;G$200,$E$127/$C229,IF($C229&lt;=G$200,$E$127-SUM($D229:F229),0))</f>
        <v>1000</v>
      </c>
      <c r="H229" s="247">
        <f>IF($C229&gt;H$200,$E$127/$C229,IF($C229&lt;=H$200,$E$127-SUM($D229:G229),0))</f>
        <v>1000</v>
      </c>
      <c r="I229" s="248"/>
      <c r="J229" s="248"/>
    </row>
    <row r="230" spans="1:10" s="190" customFormat="1" x14ac:dyDescent="0.25">
      <c r="B230" s="245">
        <v>2008</v>
      </c>
      <c r="C230" s="246">
        <f>F$192</f>
        <v>5</v>
      </c>
      <c r="D230" s="247"/>
      <c r="E230" s="247"/>
      <c r="F230" s="247">
        <f>($F$127*0.5)/$C230</f>
        <v>50</v>
      </c>
      <c r="G230" s="247">
        <f>IF($C230&gt;G$201,$F$127/$C230,IF($C230&lt;=G$201,$F$127-SUM($D230:F230),0))</f>
        <v>100</v>
      </c>
      <c r="H230" s="247">
        <f>IF($C230&gt;H$201,$F$127/$C230,IF($C230&lt;=H$201,$F$127-SUM($D230:G230),0))</f>
        <v>100</v>
      </c>
      <c r="I230" s="248"/>
      <c r="J230" s="248"/>
    </row>
    <row r="231" spans="1:10" s="190" customFormat="1" x14ac:dyDescent="0.25">
      <c r="B231" s="245">
        <v>2009</v>
      </c>
      <c r="C231" s="246">
        <f>G$192</f>
        <v>5</v>
      </c>
      <c r="D231" s="247"/>
      <c r="E231" s="247"/>
      <c r="F231" s="247"/>
      <c r="G231" s="247">
        <f>($G$127*0.5)/$C231</f>
        <v>50</v>
      </c>
      <c r="H231" s="247">
        <f>IF($C231&gt;H$202,$G$127/$C231,IF($C231&lt;=H$202,$G$127-SUM($D231:G231),0))</f>
        <v>100</v>
      </c>
      <c r="I231" s="248"/>
      <c r="J231" s="248"/>
    </row>
    <row r="232" spans="1:10" s="190" customFormat="1" x14ac:dyDescent="0.25">
      <c r="B232" s="245">
        <v>2010</v>
      </c>
      <c r="C232" s="246">
        <f>H$192</f>
        <v>5</v>
      </c>
      <c r="D232" s="247"/>
      <c r="E232" s="247"/>
      <c r="F232" s="247"/>
      <c r="G232" s="247"/>
      <c r="H232" s="247">
        <f>($H$127*0.5)/$C232</f>
        <v>50</v>
      </c>
      <c r="I232" s="248"/>
      <c r="J232" s="248"/>
    </row>
    <row r="233" spans="1:10" s="190" customFormat="1" x14ac:dyDescent="0.25">
      <c r="B233" s="245"/>
      <c r="C233" s="246"/>
      <c r="D233" s="249"/>
      <c r="E233" s="249"/>
      <c r="F233" s="249"/>
      <c r="G233" s="249"/>
      <c r="H233" s="249"/>
      <c r="I233" s="248"/>
      <c r="J233" s="248"/>
    </row>
    <row r="234" spans="1:10" s="190" customFormat="1" x14ac:dyDescent="0.25">
      <c r="B234" s="245"/>
      <c r="C234" s="246"/>
      <c r="D234" s="249"/>
      <c r="E234" s="249"/>
      <c r="F234" s="249"/>
      <c r="G234" s="249"/>
      <c r="H234" s="249"/>
      <c r="I234" s="242"/>
      <c r="J234" s="248"/>
    </row>
    <row r="235" spans="1:10" s="190" customFormat="1" x14ac:dyDescent="0.25">
      <c r="D235" s="250">
        <f>SUM(D228:D234)</f>
        <v>573</v>
      </c>
      <c r="E235" s="250">
        <f>SUM(E228:E234)</f>
        <v>1646</v>
      </c>
      <c r="F235" s="250">
        <f>SUM(F228:F234)</f>
        <v>2196</v>
      </c>
      <c r="G235" s="250">
        <f>SUM(G228:G234)</f>
        <v>2296</v>
      </c>
      <c r="H235" s="250">
        <f>SUM(H228:H234)</f>
        <v>2396</v>
      </c>
      <c r="I235" s="248"/>
      <c r="J235" s="248"/>
    </row>
    <row r="236" spans="1:10" s="190" customFormat="1" x14ac:dyDescent="0.25">
      <c r="I236" s="242"/>
      <c r="J236" s="242"/>
    </row>
    <row r="237" spans="1:10" s="190" customFormat="1" x14ac:dyDescent="0.25">
      <c r="A237" s="218" t="s">
        <v>167</v>
      </c>
      <c r="C237" s="190" t="s">
        <v>182</v>
      </c>
      <c r="D237" s="244">
        <v>2006</v>
      </c>
      <c r="E237" s="244">
        <v>2007</v>
      </c>
      <c r="F237" s="244">
        <v>2008</v>
      </c>
      <c r="G237" s="244">
        <v>2009</v>
      </c>
      <c r="H237" s="244">
        <v>2010</v>
      </c>
      <c r="I237" s="239"/>
      <c r="J237" s="239"/>
    </row>
    <row r="238" spans="1:10" s="190" customFormat="1" x14ac:dyDescent="0.25">
      <c r="B238" s="245">
        <v>2006</v>
      </c>
      <c r="C238" s="246">
        <f>D$193</f>
        <v>5</v>
      </c>
      <c r="D238" s="247">
        <f>($D$128*0.5)/$C238</f>
        <v>75</v>
      </c>
      <c r="E238" s="247">
        <f>IF($C238&gt;E$199,$D$128/$C238,IF($C238&lt;=E$199,$D$128-SUM($D238:D238),0))</f>
        <v>150</v>
      </c>
      <c r="F238" s="247">
        <f>IF($C238&gt;F$199,$D$128/$C238,IF($C238&lt;=F$199,$D$128-SUM($D238:E238),0))</f>
        <v>150</v>
      </c>
      <c r="G238" s="247">
        <f>IF($C238&gt;G$199,$D$128/$C238,IF($C238&lt;=G$199,$D$128-SUM($D238:F238),0))</f>
        <v>150</v>
      </c>
      <c r="H238" s="247">
        <f>IF($C238&gt;H$199,$D$128/$C238,IF($C238&lt;=H$199,$D$128-SUM($D238:G238),0))</f>
        <v>150</v>
      </c>
      <c r="I238" s="248"/>
      <c r="J238" s="248"/>
    </row>
    <row r="239" spans="1:10" s="190" customFormat="1" x14ac:dyDescent="0.25">
      <c r="B239" s="245">
        <v>2007</v>
      </c>
      <c r="C239" s="246">
        <f>E$193</f>
        <v>5</v>
      </c>
      <c r="D239" s="247"/>
      <c r="E239" s="247">
        <f>($E$128*0.5)/$C239</f>
        <v>5</v>
      </c>
      <c r="F239" s="247">
        <f>IF($C239&gt;F$200,$E$128/$C239,IF($C239&lt;=F$200,$E$128-SUM($D239:E239),0))</f>
        <v>10</v>
      </c>
      <c r="G239" s="247">
        <f>IF($C239&gt;G$200,$E$128/$C239,IF($C239&lt;=G$200,$E$128-SUM($D239:F239),0))</f>
        <v>10</v>
      </c>
      <c r="H239" s="247">
        <f>IF($C239&gt;H$200,$E$128/$C239,IF($C239&lt;=H$200,$E$128-SUM($D239:G239),0))</f>
        <v>10</v>
      </c>
      <c r="I239" s="248"/>
      <c r="J239" s="248"/>
    </row>
    <row r="240" spans="1:10" s="190" customFormat="1" x14ac:dyDescent="0.25">
      <c r="B240" s="245">
        <v>2008</v>
      </c>
      <c r="C240" s="246">
        <f>F$193</f>
        <v>5</v>
      </c>
      <c r="D240" s="247"/>
      <c r="E240" s="247"/>
      <c r="F240" s="247">
        <f>($F$128*0.5)/$C240</f>
        <v>10</v>
      </c>
      <c r="G240" s="247">
        <f>IF($C240&gt;G$201,$F$128/$C240,IF($C240&lt;=G$201,$F$128-SUM($D240:F240),0))</f>
        <v>20</v>
      </c>
      <c r="H240" s="247">
        <f>IF($C240&gt;H$201,$F$128/$C240,IF($C240&lt;=H$201,$F$128-SUM($D240:G240),0))</f>
        <v>20</v>
      </c>
      <c r="I240" s="248"/>
      <c r="J240" s="248"/>
    </row>
    <row r="241" spans="1:10" s="190" customFormat="1" x14ac:dyDescent="0.25">
      <c r="B241" s="245">
        <v>2009</v>
      </c>
      <c r="C241" s="246">
        <f>G$193</f>
        <v>5</v>
      </c>
      <c r="D241" s="247"/>
      <c r="E241" s="247"/>
      <c r="F241" s="247"/>
      <c r="G241" s="247">
        <f>($G$128*0.5)/$C241</f>
        <v>5</v>
      </c>
      <c r="H241" s="247">
        <f>IF($C241&gt;H$202,$G$128/$C241,IF($C241&lt;=H$202,$G$128-SUM($D241:G241),0))</f>
        <v>10</v>
      </c>
      <c r="I241" s="248"/>
      <c r="J241" s="248"/>
    </row>
    <row r="242" spans="1:10" s="190" customFormat="1" x14ac:dyDescent="0.25">
      <c r="B242" s="245">
        <v>2010</v>
      </c>
      <c r="C242" s="246">
        <f>H$193</f>
        <v>5</v>
      </c>
      <c r="D242" s="247"/>
      <c r="E242" s="247"/>
      <c r="F242" s="247"/>
      <c r="G242" s="247"/>
      <c r="H242" s="247">
        <f>($H$128*0.5)/$C242</f>
        <v>5</v>
      </c>
      <c r="I242" s="248"/>
      <c r="J242" s="248"/>
    </row>
    <row r="243" spans="1:10" s="190" customFormat="1" x14ac:dyDescent="0.25">
      <c r="B243" s="245"/>
      <c r="C243" s="246"/>
      <c r="D243" s="249"/>
      <c r="E243" s="249"/>
      <c r="F243" s="249"/>
      <c r="G243" s="249"/>
      <c r="H243" s="249"/>
      <c r="I243" s="248"/>
      <c r="J243" s="248"/>
    </row>
    <row r="244" spans="1:10" s="190" customFormat="1" x14ac:dyDescent="0.25">
      <c r="B244" s="245"/>
      <c r="C244" s="246"/>
      <c r="D244" s="249"/>
      <c r="E244" s="249"/>
      <c r="F244" s="249"/>
      <c r="G244" s="249"/>
      <c r="H244" s="249"/>
      <c r="I244" s="242"/>
      <c r="J244" s="248"/>
    </row>
    <row r="245" spans="1:10" s="190" customFormat="1" x14ac:dyDescent="0.25">
      <c r="D245" s="250">
        <f>SUM(D238:D244)</f>
        <v>75</v>
      </c>
      <c r="E245" s="250">
        <f>SUM(E238:E244)</f>
        <v>155</v>
      </c>
      <c r="F245" s="250">
        <f>SUM(F238:F244)</f>
        <v>170</v>
      </c>
      <c r="G245" s="250">
        <f>SUM(G238:G244)</f>
        <v>185</v>
      </c>
      <c r="H245" s="250">
        <f>SUM(H238:H244)</f>
        <v>195</v>
      </c>
      <c r="I245" s="248"/>
      <c r="J245" s="248"/>
    </row>
    <row r="246" spans="1:10" s="152" customFormat="1" x14ac:dyDescent="0.25">
      <c r="I246" s="157"/>
      <c r="J246" s="157"/>
    </row>
    <row r="247" spans="1:10" s="152" customFormat="1" x14ac:dyDescent="0.25">
      <c r="A247" s="179"/>
      <c r="B247" s="179"/>
      <c r="C247" s="179"/>
      <c r="D247" s="179"/>
      <c r="E247" s="179"/>
      <c r="F247" s="179"/>
      <c r="G247" s="179"/>
      <c r="H247" s="179"/>
      <c r="I247" s="157"/>
      <c r="J247" s="157"/>
    </row>
    <row r="248" spans="1:10" s="152" customFormat="1" x14ac:dyDescent="0.25">
      <c r="I248" s="157"/>
      <c r="J248" s="157"/>
    </row>
    <row r="249" spans="1:10" s="152" customFormat="1" x14ac:dyDescent="0.25">
      <c r="I249" s="157"/>
      <c r="J249" s="157"/>
    </row>
    <row r="250" spans="1:10" x14ac:dyDescent="0.25">
      <c r="A250" s="128" t="s">
        <v>183</v>
      </c>
      <c r="I250" s="157"/>
      <c r="J250" s="157"/>
    </row>
    <row r="251" spans="1:10" x14ac:dyDescent="0.25">
      <c r="A251" s="133" t="s">
        <v>184</v>
      </c>
      <c r="B251" s="130"/>
      <c r="C251" s="130"/>
      <c r="D251" s="134">
        <v>2006</v>
      </c>
      <c r="E251" s="134">
        <v>2007</v>
      </c>
      <c r="F251" s="134">
        <v>2008</v>
      </c>
      <c r="G251" s="134">
        <v>2009</v>
      </c>
      <c r="H251" s="134">
        <v>2010</v>
      </c>
      <c r="I251" s="216"/>
      <c r="J251" s="216"/>
    </row>
    <row r="252" spans="1:10" x14ac:dyDescent="0.25">
      <c r="A252" s="128" t="s">
        <v>185</v>
      </c>
      <c r="I252" s="157"/>
      <c r="J252" s="157"/>
    </row>
    <row r="253" spans="1:10" ht="24" x14ac:dyDescent="0.25">
      <c r="A253" s="133" t="s">
        <v>186</v>
      </c>
      <c r="D253" s="251" t="s">
        <v>187</v>
      </c>
      <c r="E253" s="252"/>
      <c r="I253" s="157"/>
      <c r="J253" s="157"/>
    </row>
    <row r="254" spans="1:10" x14ac:dyDescent="0.25">
      <c r="A254" s="130" t="s">
        <v>188</v>
      </c>
      <c r="C254" s="252"/>
      <c r="D254" s="252"/>
      <c r="E254" s="252"/>
      <c r="I254" s="157"/>
      <c r="J254" s="157"/>
    </row>
    <row r="255" spans="1:10" x14ac:dyDescent="0.25">
      <c r="A255" s="126" t="s">
        <v>49</v>
      </c>
      <c r="D255" s="303">
        <f>'Data 2006-08'!C176</f>
        <v>0.375</v>
      </c>
      <c r="F255" s="202"/>
      <c r="I255" s="157"/>
      <c r="J255" s="157"/>
    </row>
    <row r="256" spans="1:10" x14ac:dyDescent="0.25">
      <c r="A256" s="126" t="s">
        <v>50</v>
      </c>
      <c r="D256" s="304">
        <f>'Data 2006-08'!C177</f>
        <v>0.06</v>
      </c>
      <c r="F256" s="202"/>
      <c r="I256" s="157"/>
      <c r="J256" s="157"/>
    </row>
    <row r="257" spans="1:10" x14ac:dyDescent="0.25">
      <c r="A257" s="126" t="s">
        <v>90</v>
      </c>
      <c r="D257" s="304">
        <f>'Data 2006-08'!C178</f>
        <v>0.4</v>
      </c>
      <c r="F257" s="202"/>
      <c r="I257" s="157"/>
      <c r="J257" s="157"/>
    </row>
    <row r="258" spans="1:10" x14ac:dyDescent="0.25">
      <c r="A258" s="131" t="s">
        <v>91</v>
      </c>
      <c r="D258" s="306">
        <f>'Data 2006-08'!C179</f>
        <v>0.1764705882352941</v>
      </c>
      <c r="F258" s="202"/>
      <c r="I258" s="157"/>
      <c r="J258" s="157"/>
    </row>
    <row r="259" spans="1:10" s="152" customFormat="1" x14ac:dyDescent="0.25">
      <c r="D259" s="253"/>
      <c r="I259" s="157"/>
      <c r="J259" s="157"/>
    </row>
    <row r="260" spans="1:10" s="152" customFormat="1" x14ac:dyDescent="0.25">
      <c r="A260" s="254" t="s">
        <v>189</v>
      </c>
      <c r="D260" s="253"/>
      <c r="I260" s="157"/>
      <c r="J260" s="157"/>
    </row>
    <row r="261" spans="1:10" s="152" customFormat="1" x14ac:dyDescent="0.25">
      <c r="A261" s="126" t="s">
        <v>49</v>
      </c>
      <c r="D261" s="218">
        <f>D263-D262</f>
        <v>6864.0933712159358</v>
      </c>
      <c r="E261" s="218">
        <f>E263-E262</f>
        <v>6095.833017483239</v>
      </c>
      <c r="F261" s="218">
        <f>F263-F262</f>
        <v>27944.629743782363</v>
      </c>
      <c r="G261" s="218">
        <f>G263-G262</f>
        <v>28173.435027392858</v>
      </c>
      <c r="H261" s="218">
        <f>H263-H262</f>
        <v>28345.669719171659</v>
      </c>
      <c r="I261" s="220"/>
      <c r="J261" s="220"/>
    </row>
    <row r="262" spans="1:10" s="152" customFormat="1" x14ac:dyDescent="0.25">
      <c r="A262" s="126" t="s">
        <v>50</v>
      </c>
      <c r="D262" s="220">
        <f>D274</f>
        <v>0</v>
      </c>
      <c r="E262" s="220">
        <f>E274</f>
        <v>0</v>
      </c>
      <c r="F262" s="220">
        <f>F274</f>
        <v>0</v>
      </c>
      <c r="G262" s="220">
        <f>G274</f>
        <v>0</v>
      </c>
      <c r="H262" s="220">
        <f>H274</f>
        <v>0</v>
      </c>
      <c r="I262" s="220"/>
      <c r="J262" s="220"/>
    </row>
    <row r="263" spans="1:10" s="152" customFormat="1" x14ac:dyDescent="0.25">
      <c r="A263" s="152" t="s">
        <v>190</v>
      </c>
      <c r="D263" s="223">
        <f>D122+D123</f>
        <v>6864.0933712159358</v>
      </c>
      <c r="E263" s="223">
        <f>E122+E123</f>
        <v>6095.833017483239</v>
      </c>
      <c r="F263" s="223">
        <f>F122+F123</f>
        <v>27944.629743782363</v>
      </c>
      <c r="G263" s="223">
        <f>G122+G123</f>
        <v>28173.435027392858</v>
      </c>
      <c r="H263" s="223">
        <f>H122+H123</f>
        <v>28345.669719171659</v>
      </c>
      <c r="I263" s="220"/>
      <c r="J263" s="220"/>
    </row>
    <row r="264" spans="1:10" s="152" customFormat="1" x14ac:dyDescent="0.25">
      <c r="D264" s="220"/>
      <c r="E264" s="220"/>
      <c r="F264" s="220"/>
      <c r="G264" s="220"/>
      <c r="H264" s="220"/>
      <c r="I264" s="220"/>
      <c r="J264" s="220"/>
    </row>
    <row r="265" spans="1:10" s="152" customFormat="1" x14ac:dyDescent="0.25">
      <c r="A265" s="254" t="s">
        <v>189</v>
      </c>
      <c r="D265" s="253"/>
      <c r="I265" s="157"/>
      <c r="J265" s="157"/>
    </row>
    <row r="266" spans="1:10" s="157" customFormat="1" x14ac:dyDescent="0.25">
      <c r="A266" s="255" t="s">
        <v>50</v>
      </c>
      <c r="B266" s="220"/>
      <c r="C266" s="220"/>
      <c r="D266" s="256"/>
      <c r="E266" s="256"/>
      <c r="F266" s="256"/>
      <c r="G266" s="256"/>
      <c r="H266" s="256"/>
      <c r="I266" s="220"/>
      <c r="J266" s="220"/>
    </row>
    <row r="267" spans="1:10" s="157" customFormat="1" x14ac:dyDescent="0.25">
      <c r="A267" t="s">
        <v>191</v>
      </c>
      <c r="B267" s="216"/>
      <c r="C267" s="216"/>
      <c r="D267" s="220">
        <f>IF(D323&lt;1000,0,D323*J323)/1000+IF(D332&lt;1000,0,D332*J332)/1000</f>
        <v>0</v>
      </c>
      <c r="E267" s="220">
        <f>IF(E323&lt;1000,0,E323*K323)/1000+IF(E332&lt;1000,0,E332*K332)/1000</f>
        <v>0</v>
      </c>
      <c r="F267" s="220">
        <f>IF(F323&lt;1000,0,F323*L323)/1000+IF(F332&lt;1000,0,F332*L332)/1000</f>
        <v>0</v>
      </c>
      <c r="G267" s="220">
        <f>IF(G323&lt;1000,0,G323*M323)/1000+IF(G332&lt;1000,0,G332*M332)/1000</f>
        <v>0</v>
      </c>
      <c r="H267" s="220">
        <f>IF(H323&lt;1000,0,H323*N323)/1000+IF(H332&lt;1000,0,H332*N332)/1000</f>
        <v>0</v>
      </c>
      <c r="I267" s="216"/>
      <c r="J267" s="216"/>
    </row>
    <row r="268" spans="1:10" s="157" customFormat="1" x14ac:dyDescent="0.25">
      <c r="A268" t="s">
        <v>192</v>
      </c>
      <c r="B268" s="216"/>
      <c r="C268" s="216"/>
      <c r="D268" s="220"/>
      <c r="E268" s="220"/>
      <c r="F268" s="220"/>
      <c r="G268" s="220"/>
      <c r="H268" s="220"/>
      <c r="I268" s="216"/>
      <c r="J268" s="216"/>
    </row>
    <row r="269" spans="1:10" s="157" customFormat="1" x14ac:dyDescent="0.25">
      <c r="A269" s="157" t="s">
        <v>193</v>
      </c>
      <c r="B269" s="220"/>
      <c r="C269" s="220"/>
      <c r="D269" s="220">
        <f>IF(D325&lt;1000,0,D325*J325)/1000+IF(D334&lt;1000,0,D334*J334)/1000</f>
        <v>0</v>
      </c>
      <c r="E269" s="220">
        <f t="shared" ref="E269:H271" si="6">IF(E325&lt;1000,0,E325*K325)/1000+IF(E334&lt;1000,0,E334*K334)/1000</f>
        <v>0</v>
      </c>
      <c r="F269" s="220">
        <f t="shared" si="6"/>
        <v>0</v>
      </c>
      <c r="G269" s="220">
        <f t="shared" si="6"/>
        <v>0</v>
      </c>
      <c r="H269" s="220">
        <f t="shared" si="6"/>
        <v>0</v>
      </c>
      <c r="I269" s="220"/>
      <c r="J269" s="220"/>
    </row>
    <row r="270" spans="1:10" s="157" customFormat="1" x14ac:dyDescent="0.25">
      <c r="A270" s="157" t="s">
        <v>194</v>
      </c>
      <c r="B270" s="220"/>
      <c r="C270" s="220"/>
      <c r="D270" s="220">
        <f>IF(D326&lt;1000,0,D326*J326)/1000+IF(D335&lt;1000,0,D335*J335)/1000</f>
        <v>0</v>
      </c>
      <c r="E270" s="220">
        <f t="shared" si="6"/>
        <v>0</v>
      </c>
      <c r="F270" s="220">
        <f t="shared" si="6"/>
        <v>0</v>
      </c>
      <c r="G270" s="220">
        <f t="shared" si="6"/>
        <v>0</v>
      </c>
      <c r="H270" s="220">
        <f t="shared" si="6"/>
        <v>0</v>
      </c>
      <c r="I270" s="220"/>
      <c r="J270" s="220"/>
    </row>
    <row r="271" spans="1:10" s="157" customFormat="1" x14ac:dyDescent="0.25">
      <c r="A271" s="157" t="s">
        <v>195</v>
      </c>
      <c r="B271" s="220"/>
      <c r="C271" s="220"/>
      <c r="D271" s="220">
        <f>IF(D327&lt;1000,0,D327*J327)/1000+IF(D336&lt;1000,0,D336*J336)/1000</f>
        <v>0</v>
      </c>
      <c r="E271" s="220">
        <f t="shared" si="6"/>
        <v>0</v>
      </c>
      <c r="F271" s="220">
        <f t="shared" si="6"/>
        <v>0</v>
      </c>
      <c r="G271" s="220">
        <f t="shared" si="6"/>
        <v>0</v>
      </c>
      <c r="H271" s="220">
        <f t="shared" si="6"/>
        <v>0</v>
      </c>
      <c r="I271" s="220"/>
      <c r="J271" s="220"/>
    </row>
    <row r="272" spans="1:10" s="157" customFormat="1" x14ac:dyDescent="0.25">
      <c r="A272" s="157" t="s">
        <v>196</v>
      </c>
      <c r="B272" s="220"/>
      <c r="C272" s="220"/>
      <c r="D272" s="220">
        <f>IF(D329&lt;1000,0,D329*J329)/1000+IF(D338&lt;1000,0,D338*J338)/1000</f>
        <v>0</v>
      </c>
      <c r="E272" s="220">
        <f>IF(E329&lt;1000,0,E329*K329)/1000+IF(E338&lt;1000,0,E338*K338)/1000</f>
        <v>0</v>
      </c>
      <c r="F272" s="220">
        <f>IF(F329&lt;1000,0,F329*L329)/1000+IF(F338&lt;1000,0,F338*L338)/1000</f>
        <v>0</v>
      </c>
      <c r="G272" s="220">
        <f>IF(G329&lt;1000,0,G329*M329)/1000+IF(G338&lt;1000,0,G338*M338)/1000</f>
        <v>0</v>
      </c>
      <c r="H272" s="220">
        <f>IF(H329&lt;1000,0,H329*N329)/1000+IF(H338&lt;1000,0,H338*N338)/1000</f>
        <v>0</v>
      </c>
      <c r="I272" s="220"/>
      <c r="J272" s="220"/>
    </row>
    <row r="273" spans="1:10" s="157" customFormat="1" x14ac:dyDescent="0.25">
      <c r="A273" s="228" t="s">
        <v>361</v>
      </c>
      <c r="B273" s="220"/>
      <c r="C273" s="220"/>
      <c r="D273" s="220">
        <f>IF(D328&lt;1000,0,D328*J328)/1000+IF(D337&lt;1000,0,D337*J337)/1000</f>
        <v>0</v>
      </c>
      <c r="E273" s="220">
        <f>IF(E328&lt;1000,0,E328*K328)/1000+IF(E337&lt;1000,0,E337*K337)/1000</f>
        <v>0</v>
      </c>
      <c r="F273" s="220">
        <f>IF(F328&lt;1000,0,F328*L328)/1000+IF(F337&lt;1000,0,F337*L337)/1000</f>
        <v>0</v>
      </c>
      <c r="G273" s="220">
        <f>IF(G328&lt;1000,0,G328*M328)/1000+IF(G337&lt;1000,0,G337*M337)/1000</f>
        <v>0</v>
      </c>
      <c r="H273" s="220">
        <f>IF(H328&lt;1000,0,H328*N328)/1000+IF(H337&lt;1000,0,H337*N337)/1000</f>
        <v>0</v>
      </c>
      <c r="I273" s="220"/>
      <c r="J273" s="220"/>
    </row>
    <row r="274" spans="1:10" s="157" customFormat="1" x14ac:dyDescent="0.25">
      <c r="A274" s="257" t="s">
        <v>197</v>
      </c>
      <c r="B274" s="220"/>
      <c r="C274" s="220"/>
      <c r="D274" s="223">
        <f>SUM(D267:D273)</f>
        <v>0</v>
      </c>
      <c r="E274" s="223">
        <f>SUM(E267:E273)</f>
        <v>0</v>
      </c>
      <c r="F274" s="223">
        <f>SUM(F267:F273)</f>
        <v>0</v>
      </c>
      <c r="G274" s="223">
        <f>SUM(G267:G273)</f>
        <v>0</v>
      </c>
      <c r="H274" s="223">
        <f>SUM(H267:H273)</f>
        <v>0</v>
      </c>
      <c r="I274" s="220"/>
      <c r="J274" s="220"/>
    </row>
    <row r="275" spans="1:10" s="152" customFormat="1" x14ac:dyDescent="0.25">
      <c r="D275" s="253"/>
      <c r="I275" s="157"/>
      <c r="J275" s="157"/>
    </row>
    <row r="276" spans="1:10" s="152" customFormat="1" x14ac:dyDescent="0.25">
      <c r="D276" s="253"/>
      <c r="I276" s="157"/>
      <c r="J276" s="157"/>
    </row>
    <row r="277" spans="1:10" s="152" customFormat="1" x14ac:dyDescent="0.25">
      <c r="D277" s="253"/>
      <c r="I277" s="157"/>
      <c r="J277" s="157"/>
    </row>
    <row r="278" spans="1:10" s="152" customFormat="1" x14ac:dyDescent="0.25">
      <c r="A278" s="126" t="s">
        <v>147</v>
      </c>
      <c r="D278" s="258">
        <f>(148.4/144.8)*(1+D$63)</f>
        <v>1.0510983425414364</v>
      </c>
      <c r="E278" s="258">
        <f>D278*(1+E$63)</f>
        <v>1.0780064601104973</v>
      </c>
      <c r="F278" s="258">
        <f>E278*(1+F$63)</f>
        <v>1.1056034254893261</v>
      </c>
      <c r="G278" s="258">
        <f>F278*(1+G$63)</f>
        <v>1.1339068731818529</v>
      </c>
      <c r="H278" s="258">
        <f>G278*(1+H$63)</f>
        <v>1.1629348891353084</v>
      </c>
      <c r="I278" s="259"/>
      <c r="J278" s="259"/>
    </row>
    <row r="279" spans="1:10" s="152" customFormat="1" x14ac:dyDescent="0.25">
      <c r="D279" s="253"/>
      <c r="I279" s="157"/>
      <c r="J279" s="157"/>
    </row>
    <row r="280" spans="1:10" s="157" customFormat="1" x14ac:dyDescent="0.25">
      <c r="A280" s="216" t="s">
        <v>198</v>
      </c>
    </row>
    <row r="281" spans="1:10" s="152" customFormat="1" x14ac:dyDescent="0.25">
      <c r="A281" s="260" t="s">
        <v>49</v>
      </c>
      <c r="B281" s="157"/>
      <c r="C281" s="157"/>
      <c r="D281" s="157"/>
      <c r="E281" s="157"/>
      <c r="F281" s="157"/>
      <c r="G281" s="157"/>
      <c r="H281" s="157"/>
      <c r="I281" s="157"/>
      <c r="J281" s="157"/>
    </row>
    <row r="282" spans="1:10" s="152" customFormat="1" x14ac:dyDescent="0.25">
      <c r="A282" s="152" t="s">
        <v>199</v>
      </c>
      <c r="B282" s="157"/>
      <c r="C282" s="157"/>
      <c r="D282" s="221">
        <v>0</v>
      </c>
      <c r="E282" s="220">
        <f>D285</f>
        <v>5862.0551969969692</v>
      </c>
      <c r="F282" s="220">
        <f>E285</f>
        <v>9003.0042383620657</v>
      </c>
      <c r="G282" s="220">
        <f>F285</f>
        <v>30729.616323591101</v>
      </c>
      <c r="H282" s="220">
        <f>G285</f>
        <v>45162.177142440727</v>
      </c>
      <c r="I282" s="220"/>
      <c r="J282" s="220"/>
    </row>
    <row r="283" spans="1:10" s="152" customFormat="1" x14ac:dyDescent="0.25">
      <c r="A283" s="152" t="s">
        <v>176</v>
      </c>
      <c r="B283" s="157"/>
      <c r="C283" s="157"/>
      <c r="D283" s="220">
        <f>$D$255*(D282+D284*0.5)</f>
        <v>1352.7819685377622</v>
      </c>
      <c r="E283" s="220">
        <f>$D$255*(E282+E284*0.5)</f>
        <v>3430.3983312367009</v>
      </c>
      <c r="F283" s="220">
        <f>$D$255*(F282+F284*0.5)</f>
        <v>9169.0662835276544</v>
      </c>
      <c r="G283" s="220">
        <f>$D$255*(G282+G284*0.5)</f>
        <v>17513.490799853498</v>
      </c>
      <c r="H283" s="220">
        <f>$D$255*(H282+H284*0.5)</f>
        <v>23116.59797947733</v>
      </c>
      <c r="I283" s="220"/>
      <c r="J283" s="220"/>
    </row>
    <row r="284" spans="1:10" s="152" customFormat="1" x14ac:dyDescent="0.25">
      <c r="A284" s="152" t="s">
        <v>200</v>
      </c>
      <c r="B284" s="157"/>
      <c r="C284" s="157"/>
      <c r="D284" s="220">
        <f>D261*D$278</f>
        <v>7214.837165534731</v>
      </c>
      <c r="E284" s="220">
        <f>E261*E$278</f>
        <v>6571.3473726017974</v>
      </c>
      <c r="F284" s="220">
        <f>F261*F$278</f>
        <v>30895.678368756689</v>
      </c>
      <c r="G284" s="220">
        <f>G261*G$278</f>
        <v>31946.051618703124</v>
      </c>
      <c r="H284" s="220">
        <f>H261*H$278</f>
        <v>32964.168272330964</v>
      </c>
      <c r="I284" s="220"/>
      <c r="J284" s="220"/>
    </row>
    <row r="285" spans="1:10" s="152" customFormat="1" x14ac:dyDescent="0.25">
      <c r="A285" s="152" t="s">
        <v>201</v>
      </c>
      <c r="B285" s="157"/>
      <c r="C285" s="157"/>
      <c r="D285" s="223">
        <f>D282-D283+D284</f>
        <v>5862.0551969969692</v>
      </c>
      <c r="E285" s="223">
        <f>E282-E283+E284</f>
        <v>9003.0042383620657</v>
      </c>
      <c r="F285" s="223">
        <f>F282-F283+F284</f>
        <v>30729.616323591101</v>
      </c>
      <c r="G285" s="223">
        <f>G282-G283+G284</f>
        <v>45162.177142440727</v>
      </c>
      <c r="H285" s="223">
        <f>H282-H283+H284</f>
        <v>55009.747435294361</v>
      </c>
      <c r="I285" s="220"/>
      <c r="J285" s="220"/>
    </row>
    <row r="286" spans="1:10" s="152" customFormat="1" x14ac:dyDescent="0.25">
      <c r="A286" s="157"/>
      <c r="B286" s="157"/>
      <c r="C286" s="157"/>
      <c r="I286" s="157"/>
      <c r="J286" s="157"/>
    </row>
    <row r="287" spans="1:10" s="152" customFormat="1" x14ac:dyDescent="0.25">
      <c r="A287" s="260" t="s">
        <v>50</v>
      </c>
      <c r="B287" s="157"/>
      <c r="C287" s="157"/>
      <c r="D287" s="157"/>
      <c r="E287" s="157"/>
      <c r="F287" s="157"/>
      <c r="G287" s="157"/>
      <c r="H287" s="157"/>
      <c r="I287" s="157"/>
      <c r="J287" s="157"/>
    </row>
    <row r="288" spans="1:10" s="152" customFormat="1" x14ac:dyDescent="0.25">
      <c r="A288" s="152" t="s">
        <v>199</v>
      </c>
      <c r="B288" s="157"/>
      <c r="C288" s="157"/>
      <c r="D288" s="221">
        <v>0</v>
      </c>
      <c r="E288" s="220">
        <f>D291</f>
        <v>0</v>
      </c>
      <c r="F288" s="220">
        <f>E291</f>
        <v>0</v>
      </c>
      <c r="G288" s="220">
        <f>F291</f>
        <v>0</v>
      </c>
      <c r="H288" s="220">
        <f>G291</f>
        <v>0</v>
      </c>
      <c r="I288" s="220"/>
      <c r="J288" s="220"/>
    </row>
    <row r="289" spans="1:10" s="152" customFormat="1" x14ac:dyDescent="0.25">
      <c r="A289" s="152" t="s">
        <v>176</v>
      </c>
      <c r="B289" s="157"/>
      <c r="C289" s="157"/>
      <c r="D289" s="220">
        <f>$D$256*(D288+D290*0.5)</f>
        <v>0</v>
      </c>
      <c r="E289" s="220">
        <f>$D$256*(E288+E290*0.5)</f>
        <v>0</v>
      </c>
      <c r="F289" s="220">
        <f>$D$256*(F288+F290*0.5)</f>
        <v>0</v>
      </c>
      <c r="G289" s="220">
        <f>$D$256*(G288+G290*0.5)</f>
        <v>0</v>
      </c>
      <c r="H289" s="220">
        <f>$D$256*(H288+H290*0.5)</f>
        <v>0</v>
      </c>
      <c r="I289" s="220"/>
      <c r="J289" s="220"/>
    </row>
    <row r="290" spans="1:10" s="152" customFormat="1" x14ac:dyDescent="0.25">
      <c r="A290" s="152" t="s">
        <v>200</v>
      </c>
      <c r="B290" s="157"/>
      <c r="C290" s="157"/>
      <c r="D290" s="220">
        <f>D263*D$278-D284</f>
        <v>0</v>
      </c>
      <c r="E290" s="220">
        <f>E263*E$278-E284</f>
        <v>0</v>
      </c>
      <c r="F290" s="220">
        <f>F263*F$278-F284</f>
        <v>0</v>
      </c>
      <c r="G290" s="220">
        <f>G263*G$278-G284</f>
        <v>0</v>
      </c>
      <c r="H290" s="220">
        <f>H263*H$278-H284</f>
        <v>0</v>
      </c>
      <c r="I290" s="220"/>
      <c r="J290" s="220"/>
    </row>
    <row r="291" spans="1:10" s="152" customFormat="1" x14ac:dyDescent="0.25">
      <c r="A291" s="152" t="s">
        <v>201</v>
      </c>
      <c r="B291" s="157"/>
      <c r="C291" s="157"/>
      <c r="D291" s="223">
        <f>D288-D289+D290</f>
        <v>0</v>
      </c>
      <c r="E291" s="223">
        <f>E288-E289+E290</f>
        <v>0</v>
      </c>
      <c r="F291" s="223">
        <f>F288-F289+F290</f>
        <v>0</v>
      </c>
      <c r="G291" s="223">
        <f>G288-G289+G290</f>
        <v>0</v>
      </c>
      <c r="H291" s="223">
        <f>H288-H289+H290</f>
        <v>0</v>
      </c>
      <c r="I291" s="220"/>
      <c r="J291" s="220"/>
    </row>
    <row r="292" spans="1:10" s="152" customFormat="1" x14ac:dyDescent="0.25">
      <c r="A292" s="157"/>
      <c r="B292" s="157"/>
      <c r="C292" s="157"/>
      <c r="D292" s="220"/>
      <c r="E292" s="220"/>
      <c r="F292" s="220"/>
      <c r="G292" s="220"/>
      <c r="H292" s="220"/>
      <c r="I292" s="220"/>
      <c r="J292" s="220"/>
    </row>
    <row r="293" spans="1:10" s="152" customFormat="1" x14ac:dyDescent="0.25">
      <c r="A293" s="260" t="s">
        <v>90</v>
      </c>
      <c r="I293" s="157"/>
      <c r="J293" s="157"/>
    </row>
    <row r="294" spans="1:10" s="152" customFormat="1" x14ac:dyDescent="0.25">
      <c r="A294" s="152" t="s">
        <v>199</v>
      </c>
      <c r="B294" s="157"/>
      <c r="C294" s="157"/>
      <c r="D294" s="221">
        <v>0</v>
      </c>
      <c r="E294" s="220">
        <f>D297</f>
        <v>4818.234802209945</v>
      </c>
      <c r="F294" s="220">
        <f>E297</f>
        <v>7202.9667217679562</v>
      </c>
      <c r="G294" s="220">
        <f>F297</f>
        <v>4764.0214032565036</v>
      </c>
      <c r="H294" s="220">
        <f>G297</f>
        <v>3311.9755912266437</v>
      </c>
      <c r="I294" s="220"/>
      <c r="J294" s="220"/>
    </row>
    <row r="295" spans="1:10" s="152" customFormat="1" x14ac:dyDescent="0.25">
      <c r="A295" s="152" t="s">
        <v>176</v>
      </c>
      <c r="B295" s="157"/>
      <c r="C295" s="157"/>
      <c r="D295" s="220">
        <f>$D$257*(D294+D296*0.5)</f>
        <v>1204.5587005524862</v>
      </c>
      <c r="E295" s="220">
        <f>$D$257*(E294+E296*0.5)</f>
        <v>3005.3003809944753</v>
      </c>
      <c r="F295" s="220">
        <f>$D$257*(F294+F296*0.5)</f>
        <v>2991.7470312561154</v>
      </c>
      <c r="G295" s="220">
        <f>$D$257*(G294+G296*0.5)</f>
        <v>2018.9992486207866</v>
      </c>
      <c r="H295" s="220">
        <f>$D$257*(H294+H296*0.5)</f>
        <v>1441.0837254041883</v>
      </c>
      <c r="I295" s="220"/>
      <c r="J295" s="220"/>
    </row>
    <row r="296" spans="1:10" s="152" customFormat="1" x14ac:dyDescent="0.25">
      <c r="A296" s="152" t="s">
        <v>200</v>
      </c>
      <c r="B296" s="157"/>
      <c r="C296" s="157"/>
      <c r="D296" s="220">
        <f>D127*D$278</f>
        <v>6022.7935027624308</v>
      </c>
      <c r="E296" s="220">
        <f>E127*E$278</f>
        <v>5390.032300552486</v>
      </c>
      <c r="F296" s="220">
        <f>F127*F$278</f>
        <v>552.80171274466306</v>
      </c>
      <c r="G296" s="220">
        <f>G127*G$278</f>
        <v>566.95343659092646</v>
      </c>
      <c r="H296" s="220">
        <f>H127*H$278</f>
        <v>581.46744456765418</v>
      </c>
      <c r="I296" s="220"/>
      <c r="J296" s="220"/>
    </row>
    <row r="297" spans="1:10" s="152" customFormat="1" x14ac:dyDescent="0.25">
      <c r="A297" s="152" t="s">
        <v>201</v>
      </c>
      <c r="B297" s="157"/>
      <c r="C297" s="157"/>
      <c r="D297" s="223">
        <f>D294-D295+D296</f>
        <v>4818.234802209945</v>
      </c>
      <c r="E297" s="223">
        <f>E294-E295+E296</f>
        <v>7202.9667217679562</v>
      </c>
      <c r="F297" s="223">
        <f>F294-F295+F296</f>
        <v>4764.0214032565036</v>
      </c>
      <c r="G297" s="223">
        <f>G294-G295+G296</f>
        <v>3311.9755912266437</v>
      </c>
      <c r="H297" s="223">
        <f>H294-H295+H296</f>
        <v>2452.3593103901094</v>
      </c>
      <c r="I297" s="220"/>
      <c r="J297" s="220"/>
    </row>
    <row r="298" spans="1:10" s="152" customFormat="1" x14ac:dyDescent="0.25">
      <c r="A298" s="157"/>
      <c r="B298" s="157"/>
      <c r="C298" s="157"/>
      <c r="D298" s="220"/>
      <c r="E298" s="220"/>
      <c r="F298" s="220"/>
      <c r="G298" s="220"/>
      <c r="H298" s="220"/>
      <c r="I298" s="220"/>
      <c r="J298" s="220"/>
    </row>
    <row r="299" spans="1:10" s="152" customFormat="1" x14ac:dyDescent="0.25">
      <c r="A299" s="260" t="s">
        <v>91</v>
      </c>
      <c r="I299" s="157"/>
      <c r="J299" s="157"/>
    </row>
    <row r="300" spans="1:10" s="152" customFormat="1" x14ac:dyDescent="0.25">
      <c r="A300" s="152" t="s">
        <v>199</v>
      </c>
      <c r="B300" s="157"/>
      <c r="C300" s="157"/>
      <c r="D300" s="221">
        <v>0</v>
      </c>
      <c r="E300" s="220">
        <f>D303</f>
        <v>718.7657783555411</v>
      </c>
      <c r="F300" s="220">
        <f>E303</f>
        <v>641.06917079783602</v>
      </c>
      <c r="G300" s="220">
        <f>F303</f>
        <v>628.74433533400941</v>
      </c>
      <c r="H300" s="220">
        <f>G303</f>
        <v>569.48226596423922</v>
      </c>
      <c r="I300" s="220"/>
      <c r="J300" s="220"/>
    </row>
    <row r="301" spans="1:10" s="152" customFormat="1" x14ac:dyDescent="0.25">
      <c r="A301" s="152" t="s">
        <v>176</v>
      </c>
      <c r="B301" s="157"/>
      <c r="C301" s="157"/>
      <c r="D301" s="220">
        <f>$D$258*(D300+D302*0.5)</f>
        <v>69.55797855053622</v>
      </c>
      <c r="E301" s="220">
        <f>$D$258*(E300+E302*0.5)</f>
        <v>131.59693056323002</v>
      </c>
      <c r="F301" s="220">
        <f>$D$258*(F300+F302*0.5)</f>
        <v>122.88517801275921</v>
      </c>
      <c r="G301" s="220">
        <f>$D$258*(G300+G302*0.5)</f>
        <v>115.95741302886277</v>
      </c>
      <c r="H301" s="220">
        <f>$D$258*(H300+H302*0.5)</f>
        <v>105.62746556340386</v>
      </c>
      <c r="I301" s="220"/>
      <c r="J301" s="220"/>
    </row>
    <row r="302" spans="1:10" s="152" customFormat="1" x14ac:dyDescent="0.25">
      <c r="A302" s="152" t="s">
        <v>200</v>
      </c>
      <c r="B302" s="157"/>
      <c r="C302" s="157"/>
      <c r="D302" s="220">
        <f>D128*D278</f>
        <v>788.32375690607728</v>
      </c>
      <c r="E302" s="220">
        <f>E128*E278</f>
        <v>53.900323005524861</v>
      </c>
      <c r="F302" s="220">
        <f>F128*F278</f>
        <v>110.56034254893261</v>
      </c>
      <c r="G302" s="220">
        <f>G128*G278</f>
        <v>56.695343659092643</v>
      </c>
      <c r="H302" s="220">
        <f>H128*H278</f>
        <v>58.146744456765418</v>
      </c>
      <c r="I302" s="220"/>
      <c r="J302" s="220"/>
    </row>
    <row r="303" spans="1:10" s="152" customFormat="1" x14ac:dyDescent="0.25">
      <c r="A303" s="152" t="s">
        <v>201</v>
      </c>
      <c r="B303" s="157"/>
      <c r="C303" s="157"/>
      <c r="D303" s="223">
        <f>D300-D301+D302</f>
        <v>718.7657783555411</v>
      </c>
      <c r="E303" s="223">
        <f>E300-E301+E302</f>
        <v>641.06917079783602</v>
      </c>
      <c r="F303" s="223">
        <f>F300-F301+F302</f>
        <v>628.74433533400941</v>
      </c>
      <c r="G303" s="223">
        <f>G300-G301+G302</f>
        <v>569.48226596423922</v>
      </c>
      <c r="H303" s="223">
        <f>H300-H301+H302</f>
        <v>522.00154485760072</v>
      </c>
      <c r="I303" s="220"/>
      <c r="J303" s="220"/>
    </row>
    <row r="304" spans="1:10" s="152" customFormat="1" x14ac:dyDescent="0.25">
      <c r="B304" s="157"/>
      <c r="C304" s="157"/>
      <c r="D304" s="220"/>
      <c r="E304" s="220"/>
      <c r="F304" s="220"/>
      <c r="G304" s="220"/>
      <c r="H304" s="220"/>
      <c r="I304" s="220"/>
      <c r="J304" s="220"/>
    </row>
    <row r="305" spans="1:16" s="152" customFormat="1" x14ac:dyDescent="0.25">
      <c r="A305" s="260" t="s">
        <v>45</v>
      </c>
      <c r="B305" s="220"/>
      <c r="C305" s="220"/>
      <c r="D305" s="220"/>
      <c r="E305" s="220"/>
      <c r="F305" s="220"/>
      <c r="G305" s="220"/>
      <c r="H305" s="220"/>
      <c r="I305" s="220"/>
      <c r="J305" s="220"/>
    </row>
    <row r="306" spans="1:16" s="152" customFormat="1" x14ac:dyDescent="0.25">
      <c r="A306" s="152" t="s">
        <v>199</v>
      </c>
      <c r="B306" s="220"/>
      <c r="C306" s="220"/>
      <c r="D306" s="220">
        <f t="shared" ref="D306:H309" si="7">SUM(D282,D288,D294,D300)</f>
        <v>0</v>
      </c>
      <c r="E306" s="220">
        <f t="shared" si="7"/>
        <v>11399.055777562455</v>
      </c>
      <c r="F306" s="220">
        <f t="shared" si="7"/>
        <v>16847.040130927857</v>
      </c>
      <c r="G306" s="220">
        <f t="shared" si="7"/>
        <v>36122.382062181612</v>
      </c>
      <c r="H306" s="220">
        <f t="shared" si="7"/>
        <v>49043.634999631606</v>
      </c>
      <c r="I306" s="220"/>
      <c r="J306" s="220"/>
    </row>
    <row r="307" spans="1:16" s="152" customFormat="1" x14ac:dyDescent="0.25">
      <c r="A307" s="152" t="s">
        <v>176</v>
      </c>
      <c r="B307" s="220"/>
      <c r="C307" s="220"/>
      <c r="D307" s="220">
        <f t="shared" si="7"/>
        <v>2626.8986476407845</v>
      </c>
      <c r="E307" s="220">
        <f t="shared" si="7"/>
        <v>6567.2956427944064</v>
      </c>
      <c r="F307" s="220">
        <f t="shared" si="7"/>
        <v>12283.698492796528</v>
      </c>
      <c r="G307" s="220">
        <f t="shared" si="7"/>
        <v>19648.447461503147</v>
      </c>
      <c r="H307" s="220">
        <f t="shared" si="7"/>
        <v>24663.309170444922</v>
      </c>
      <c r="I307" s="220"/>
      <c r="J307" s="220"/>
    </row>
    <row r="308" spans="1:16" s="152" customFormat="1" x14ac:dyDescent="0.25">
      <c r="A308" s="152" t="s">
        <v>200</v>
      </c>
      <c r="B308" s="220"/>
      <c r="C308" s="220"/>
      <c r="D308" s="220">
        <f t="shared" si="7"/>
        <v>14025.954425203239</v>
      </c>
      <c r="E308" s="220">
        <f t="shared" si="7"/>
        <v>12015.279996159807</v>
      </c>
      <c r="F308" s="220">
        <f t="shared" si="7"/>
        <v>31559.040424050283</v>
      </c>
      <c r="G308" s="220">
        <f t="shared" si="7"/>
        <v>32569.700398953144</v>
      </c>
      <c r="H308" s="220">
        <f t="shared" si="7"/>
        <v>33603.782461355389</v>
      </c>
      <c r="I308" s="220"/>
      <c r="J308" s="220"/>
    </row>
    <row r="309" spans="1:16" s="152" customFormat="1" x14ac:dyDescent="0.25">
      <c r="A309" s="152" t="s">
        <v>201</v>
      </c>
      <c r="D309" s="223">
        <f t="shared" si="7"/>
        <v>11399.055777562455</v>
      </c>
      <c r="E309" s="223">
        <f t="shared" si="7"/>
        <v>16847.040130927857</v>
      </c>
      <c r="F309" s="223">
        <f t="shared" si="7"/>
        <v>36122.382062181612</v>
      </c>
      <c r="G309" s="223">
        <f t="shared" si="7"/>
        <v>49043.634999631606</v>
      </c>
      <c r="H309" s="223">
        <f t="shared" si="7"/>
        <v>57984.10829054207</v>
      </c>
      <c r="I309" s="220"/>
      <c r="J309" s="220"/>
    </row>
    <row r="310" spans="1:16" s="152" customFormat="1" x14ac:dyDescent="0.25">
      <c r="A310" s="261"/>
      <c r="C310" s="262"/>
      <c r="D310" s="163"/>
      <c r="E310" s="163"/>
      <c r="F310" s="163"/>
      <c r="G310" s="163"/>
      <c r="H310" s="163"/>
      <c r="I310" s="224"/>
      <c r="J310" s="224"/>
    </row>
    <row r="311" spans="1:16" x14ac:dyDescent="0.25">
      <c r="D311" s="263"/>
      <c r="E311" s="263"/>
      <c r="F311" s="263"/>
      <c r="G311" s="263"/>
      <c r="H311" s="263"/>
      <c r="I311" s="221"/>
      <c r="J311" s="221"/>
    </row>
    <row r="312" spans="1:16" s="155" customFormat="1" x14ac:dyDescent="0.25">
      <c r="A312" s="178"/>
      <c r="B312" s="178"/>
      <c r="C312" s="178"/>
      <c r="D312" s="178"/>
      <c r="E312" s="178"/>
      <c r="F312" s="178"/>
      <c r="G312" s="178"/>
      <c r="H312" s="178"/>
      <c r="I312" s="157"/>
      <c r="J312" s="157"/>
    </row>
    <row r="313" spans="1:16" x14ac:dyDescent="0.25">
      <c r="A313" s="133"/>
      <c r="I313" s="157"/>
      <c r="J313" s="157"/>
    </row>
    <row r="314" spans="1:16" x14ac:dyDescent="0.25">
      <c r="A314" s="133"/>
      <c r="I314" s="157"/>
      <c r="J314" s="157"/>
    </row>
    <row r="315" spans="1:16" x14ac:dyDescent="0.25">
      <c r="A315" s="162" t="s">
        <v>202</v>
      </c>
      <c r="I315" s="157"/>
      <c r="J315" s="157"/>
    </row>
    <row r="316" spans="1:16" x14ac:dyDescent="0.25">
      <c r="A316" s="130" t="s">
        <v>203</v>
      </c>
      <c r="I316" s="157"/>
      <c r="J316" s="157"/>
    </row>
    <row r="317" spans="1:16" x14ac:dyDescent="0.25">
      <c r="A317" s="133"/>
      <c r="I317" s="157"/>
      <c r="J317" s="157"/>
    </row>
    <row r="318" spans="1:16" customFormat="1" x14ac:dyDescent="0.25">
      <c r="A318" s="264" t="s">
        <v>204</v>
      </c>
      <c r="B318" s="265"/>
      <c r="C318" s="265"/>
      <c r="D318" s="266">
        <v>2006</v>
      </c>
      <c r="E318" s="266">
        <v>2007</v>
      </c>
      <c r="F318" s="266">
        <v>2008</v>
      </c>
      <c r="G318" s="266">
        <v>2009</v>
      </c>
      <c r="H318" s="266">
        <v>2010</v>
      </c>
      <c r="J318" s="266">
        <v>2006</v>
      </c>
      <c r="K318" s="266">
        <v>2007</v>
      </c>
      <c r="L318" s="266">
        <v>2008</v>
      </c>
      <c r="M318" s="266">
        <v>2009</v>
      </c>
      <c r="N318" s="266">
        <v>2010</v>
      </c>
    </row>
    <row r="319" spans="1:16" customFormat="1" x14ac:dyDescent="0.25">
      <c r="A319" s="264"/>
      <c r="B319" s="264"/>
      <c r="C319" s="264"/>
      <c r="D319" s="267"/>
      <c r="E319" s="267"/>
      <c r="F319" s="267"/>
      <c r="G319" s="267"/>
      <c r="H319" s="267"/>
      <c r="J319" s="267"/>
      <c r="K319" s="267"/>
      <c r="L319" s="267"/>
      <c r="M319" s="267"/>
      <c r="N319" s="267"/>
    </row>
    <row r="320" spans="1:16" customFormat="1" x14ac:dyDescent="0.25">
      <c r="A320" s="268" t="s">
        <v>205</v>
      </c>
      <c r="B320" s="268"/>
      <c r="C320" s="268"/>
      <c r="D320" s="269"/>
      <c r="E320" s="269"/>
      <c r="F320" s="269"/>
      <c r="G320" s="269"/>
      <c r="H320" s="269"/>
      <c r="J320" s="270"/>
      <c r="K320" s="271"/>
      <c r="L320" s="272"/>
      <c r="M320" s="272"/>
      <c r="N320" s="272"/>
      <c r="O320" s="272"/>
      <c r="P320" s="272"/>
    </row>
    <row r="321" spans="1:16" s="228" customFormat="1" x14ac:dyDescent="0.25">
      <c r="A321" s="264" t="s">
        <v>206</v>
      </c>
      <c r="B321" s="264"/>
      <c r="C321" s="264"/>
      <c r="D321" s="269"/>
      <c r="E321" s="269"/>
      <c r="F321" s="269"/>
      <c r="G321" s="269"/>
      <c r="H321" s="269"/>
      <c r="J321" s="264" t="s">
        <v>207</v>
      </c>
      <c r="K321" s="273"/>
      <c r="L321" s="271"/>
      <c r="M321" s="271"/>
      <c r="N321" s="271"/>
      <c r="O321" s="271"/>
      <c r="P321" s="271"/>
    </row>
    <row r="322" spans="1:16" customFormat="1" x14ac:dyDescent="0.25">
      <c r="A322" t="s">
        <v>208</v>
      </c>
      <c r="J322" s="271"/>
      <c r="K322" s="271"/>
      <c r="L322" s="274"/>
      <c r="M322" s="274"/>
      <c r="N322" s="274"/>
      <c r="O322" s="274"/>
      <c r="P322" s="274"/>
    </row>
    <row r="323" spans="1:16" customFormat="1" x14ac:dyDescent="0.25">
      <c r="A323" t="s">
        <v>191</v>
      </c>
      <c r="D323" s="540">
        <v>37.301250000000003</v>
      </c>
      <c r="E323" s="540">
        <v>37.301250000000003</v>
      </c>
      <c r="F323" s="540">
        <v>37.301250000000003</v>
      </c>
      <c r="G323" s="540">
        <v>37.301250000000003</v>
      </c>
      <c r="H323" s="540">
        <v>37.301250000000003</v>
      </c>
      <c r="J323" s="543">
        <v>0</v>
      </c>
      <c r="K323" s="543">
        <v>0</v>
      </c>
      <c r="L323" s="543">
        <v>0</v>
      </c>
      <c r="M323" s="543">
        <v>0</v>
      </c>
      <c r="N323" s="543">
        <v>0</v>
      </c>
      <c r="O323" s="274"/>
      <c r="P323" s="274"/>
    </row>
    <row r="324" spans="1:16" customFormat="1" x14ac:dyDescent="0.25">
      <c r="A324" t="s">
        <v>192</v>
      </c>
      <c r="D324" s="541"/>
      <c r="E324" s="541"/>
      <c r="F324" s="541"/>
      <c r="G324" s="541"/>
      <c r="H324" s="541"/>
      <c r="I324" s="228"/>
      <c r="J324" s="382"/>
      <c r="K324" s="544"/>
      <c r="L324" s="382"/>
      <c r="M324" s="382"/>
      <c r="N324" s="382"/>
      <c r="O324" s="276"/>
      <c r="P324" s="276"/>
    </row>
    <row r="325" spans="1:16" customFormat="1" x14ac:dyDescent="0.25">
      <c r="A325" t="s">
        <v>209</v>
      </c>
      <c r="D325" s="540">
        <v>85.26</v>
      </c>
      <c r="E325" s="540">
        <v>85.26</v>
      </c>
      <c r="F325" s="540">
        <v>85.26</v>
      </c>
      <c r="G325" s="540">
        <v>85.26</v>
      </c>
      <c r="H325" s="540">
        <v>85.26</v>
      </c>
      <c r="J325" s="543">
        <v>7171</v>
      </c>
      <c r="K325" s="543">
        <v>7730</v>
      </c>
      <c r="L325" s="543">
        <v>8081</v>
      </c>
      <c r="M325" s="543">
        <v>7984</v>
      </c>
      <c r="N325" s="543">
        <v>8804</v>
      </c>
      <c r="O325" s="277"/>
      <c r="P325" s="277"/>
    </row>
    <row r="326" spans="1:16" customFormat="1" x14ac:dyDescent="0.25">
      <c r="A326" t="s">
        <v>210</v>
      </c>
      <c r="D326" s="540">
        <v>165.19125</v>
      </c>
      <c r="E326" s="540">
        <v>165.19125</v>
      </c>
      <c r="F326" s="540">
        <v>165.19125</v>
      </c>
      <c r="G326" s="540">
        <v>165.19125</v>
      </c>
      <c r="H326" s="540">
        <v>165.19125</v>
      </c>
      <c r="J326" s="543">
        <v>3074</v>
      </c>
      <c r="K326" s="543">
        <v>3074</v>
      </c>
      <c r="L326" s="543">
        <v>3074</v>
      </c>
      <c r="M326" s="543">
        <v>3074</v>
      </c>
      <c r="N326" s="543">
        <v>3074</v>
      </c>
      <c r="O326" s="274"/>
      <c r="P326" s="274"/>
    </row>
    <row r="327" spans="1:16" customFormat="1" x14ac:dyDescent="0.25">
      <c r="A327" t="s">
        <v>211</v>
      </c>
      <c r="D327" s="540">
        <v>314.39625000000001</v>
      </c>
      <c r="E327" s="540">
        <v>314.39625000000001</v>
      </c>
      <c r="F327" s="540">
        <v>314.39625000000001</v>
      </c>
      <c r="G327" s="540">
        <v>314.39625000000001</v>
      </c>
      <c r="H327" s="540">
        <v>314.39625000000001</v>
      </c>
      <c r="J327" s="543">
        <v>678</v>
      </c>
      <c r="K327" s="543">
        <v>678</v>
      </c>
      <c r="L327" s="543">
        <v>678</v>
      </c>
      <c r="M327" s="543">
        <v>678</v>
      </c>
      <c r="N327" s="543">
        <v>678</v>
      </c>
      <c r="O327" s="274"/>
      <c r="P327" s="274"/>
    </row>
    <row r="328" spans="1:16" customFormat="1" x14ac:dyDescent="0.25">
      <c r="A328" t="s">
        <v>362</v>
      </c>
      <c r="D328" s="540">
        <v>399.65625</v>
      </c>
      <c r="E328" s="540">
        <v>399.65625</v>
      </c>
      <c r="F328" s="540">
        <v>399.65625</v>
      </c>
      <c r="G328" s="540">
        <v>399.65625</v>
      </c>
      <c r="H328" s="540">
        <v>399.65625</v>
      </c>
      <c r="J328" s="543">
        <v>1142</v>
      </c>
      <c r="K328" s="543">
        <v>1231</v>
      </c>
      <c r="L328" s="543">
        <v>1286</v>
      </c>
      <c r="M328" s="543">
        <v>1271</v>
      </c>
      <c r="N328" s="543">
        <v>1401</v>
      </c>
      <c r="O328" s="274"/>
      <c r="P328" s="274"/>
    </row>
    <row r="329" spans="1:16" customFormat="1" x14ac:dyDescent="0.25">
      <c r="A329" t="s">
        <v>212</v>
      </c>
      <c r="D329" s="540">
        <v>378.34125</v>
      </c>
      <c r="E329" s="540">
        <v>378.34125</v>
      </c>
      <c r="F329" s="540">
        <v>378.34125</v>
      </c>
      <c r="G329" s="540">
        <v>378.34125</v>
      </c>
      <c r="H329" s="540">
        <v>378.34125</v>
      </c>
      <c r="J329" s="543">
        <v>40</v>
      </c>
      <c r="K329" s="543">
        <v>43</v>
      </c>
      <c r="L329" s="543">
        <v>45</v>
      </c>
      <c r="M329" s="543">
        <v>44</v>
      </c>
      <c r="N329" s="543">
        <v>49</v>
      </c>
      <c r="O329" s="274"/>
      <c r="P329" s="274"/>
    </row>
    <row r="330" spans="1:16" customFormat="1" x14ac:dyDescent="0.25">
      <c r="D330" s="541"/>
      <c r="E330" s="541"/>
      <c r="F330" s="541"/>
      <c r="G330" s="541"/>
      <c r="H330" s="541"/>
      <c r="I330" s="228"/>
      <c r="J330" s="544"/>
      <c r="K330" s="544"/>
      <c r="L330" s="544"/>
      <c r="M330" s="544"/>
      <c r="N330" s="544"/>
      <c r="O330" s="274"/>
      <c r="P330" s="274"/>
    </row>
    <row r="331" spans="1:16" customFormat="1" x14ac:dyDescent="0.25">
      <c r="A331" t="s">
        <v>213</v>
      </c>
      <c r="D331" s="563"/>
      <c r="E331" s="563"/>
      <c r="F331" s="563"/>
      <c r="G331" s="563"/>
      <c r="H331" s="563"/>
      <c r="J331" s="544"/>
      <c r="K331" s="544"/>
      <c r="L331" s="544"/>
      <c r="M331" s="544"/>
      <c r="N331" s="544"/>
      <c r="O331" s="274"/>
      <c r="P331" s="274"/>
    </row>
    <row r="332" spans="1:16" customFormat="1" x14ac:dyDescent="0.25">
      <c r="A332" t="s">
        <v>191</v>
      </c>
      <c r="D332" s="540">
        <v>137.34125</v>
      </c>
      <c r="E332" s="540">
        <v>139.21534200000002</v>
      </c>
      <c r="F332" s="540">
        <v>141.13122625160003</v>
      </c>
      <c r="G332" s="540">
        <v>143.08983472201069</v>
      </c>
      <c r="H332" s="540">
        <v>145.09212016131153</v>
      </c>
      <c r="I332" s="228"/>
      <c r="J332" s="543">
        <v>6500</v>
      </c>
      <c r="K332" s="543">
        <v>0</v>
      </c>
      <c r="L332" s="543">
        <v>0</v>
      </c>
      <c r="M332" s="543">
        <v>0</v>
      </c>
      <c r="N332" s="543">
        <v>0</v>
      </c>
      <c r="O332" s="274"/>
      <c r="P332" s="274"/>
    </row>
    <row r="333" spans="1:16" customFormat="1" x14ac:dyDescent="0.25">
      <c r="A333" t="s">
        <v>192</v>
      </c>
      <c r="D333" s="563"/>
      <c r="E333" s="563"/>
      <c r="F333" s="563"/>
      <c r="G333" s="563"/>
      <c r="H333" s="563"/>
      <c r="J333" s="543"/>
      <c r="K333" s="543"/>
      <c r="L333" s="543"/>
      <c r="M333" s="543"/>
      <c r="N333" s="543"/>
      <c r="O333" s="276"/>
      <c r="P333" s="276"/>
    </row>
    <row r="334" spans="1:16" customFormat="1" x14ac:dyDescent="0.25">
      <c r="A334" t="s">
        <v>209</v>
      </c>
      <c r="D334" s="540">
        <v>191.96666666666667</v>
      </c>
      <c r="E334" s="540">
        <v>193.98942533333332</v>
      </c>
      <c r="F334" s="540">
        <v>196.05729151826665</v>
      </c>
      <c r="G334" s="540">
        <v>198.17127111912401</v>
      </c>
      <c r="H334" s="540">
        <v>200.33239246508049</v>
      </c>
      <c r="J334" s="543">
        <v>0</v>
      </c>
      <c r="K334" s="543">
        <v>0</v>
      </c>
      <c r="L334" s="543">
        <v>6123.9024244176217</v>
      </c>
      <c r="M334" s="543">
        <v>6123.9024244176217</v>
      </c>
      <c r="N334" s="543">
        <v>6123.9024244176217</v>
      </c>
      <c r="O334" s="277"/>
      <c r="P334" s="277"/>
    </row>
    <row r="335" spans="1:16" customFormat="1" x14ac:dyDescent="0.25">
      <c r="A335" t="s">
        <v>210</v>
      </c>
      <c r="D335" s="540">
        <v>333.23124999999999</v>
      </c>
      <c r="E335" s="540">
        <v>336.62174199999998</v>
      </c>
      <c r="F335" s="540">
        <v>340.08784197159997</v>
      </c>
      <c r="G335" s="540">
        <v>343.63123597256663</v>
      </c>
      <c r="H335" s="540">
        <v>347.2536476597549</v>
      </c>
      <c r="J335" s="543">
        <v>4255</v>
      </c>
      <c r="K335" s="543">
        <v>4255</v>
      </c>
      <c r="L335" s="543">
        <v>19897</v>
      </c>
      <c r="M335" s="543">
        <v>19897</v>
      </c>
      <c r="N335" s="543">
        <v>19897</v>
      </c>
      <c r="O335" s="274"/>
      <c r="P335" s="274"/>
    </row>
    <row r="336" spans="1:16" customFormat="1" x14ac:dyDescent="0.25">
      <c r="A336" t="s">
        <v>211</v>
      </c>
      <c r="D336" s="540">
        <v>538.67142788597039</v>
      </c>
      <c r="E336" s="540">
        <v>543.02461422882766</v>
      </c>
      <c r="F336" s="540">
        <v>547.47487662713047</v>
      </c>
      <c r="G336" s="540">
        <v>552.02437987691542</v>
      </c>
      <c r="H336" s="540">
        <v>556.67533704917059</v>
      </c>
      <c r="J336" s="543">
        <v>3157</v>
      </c>
      <c r="K336" s="543">
        <v>3157</v>
      </c>
      <c r="L336" s="543">
        <v>8628</v>
      </c>
      <c r="M336" s="543">
        <v>8628</v>
      </c>
      <c r="N336" s="543">
        <v>8268</v>
      </c>
      <c r="O336" s="274"/>
      <c r="P336" s="274"/>
    </row>
    <row r="337" spans="1:16" customFormat="1" x14ac:dyDescent="0.25">
      <c r="A337" t="s">
        <v>362</v>
      </c>
      <c r="D337" s="540">
        <v>736.45142788597036</v>
      </c>
      <c r="E337" s="540">
        <v>742.95701022882758</v>
      </c>
      <c r="F337" s="540">
        <v>749.60766705793026</v>
      </c>
      <c r="G337" s="540">
        <v>756.40663353432228</v>
      </c>
      <c r="H337" s="540">
        <v>763.35721696313749</v>
      </c>
      <c r="J337" s="543">
        <v>468.67173433833449</v>
      </c>
      <c r="K337" s="543">
        <v>468.55725663087549</v>
      </c>
      <c r="L337" s="543">
        <v>17759.590336343601</v>
      </c>
      <c r="M337" s="543">
        <v>17759.590336343601</v>
      </c>
      <c r="N337" s="543">
        <v>17759.590336343601</v>
      </c>
      <c r="O337" s="274"/>
      <c r="P337" s="274"/>
    </row>
    <row r="338" spans="1:16" customFormat="1" x14ac:dyDescent="0.25">
      <c r="A338" t="s">
        <v>212</v>
      </c>
      <c r="D338" s="540">
        <v>918.84791666666661</v>
      </c>
      <c r="E338" s="540">
        <v>930.54441533333329</v>
      </c>
      <c r="F338" s="540">
        <v>942.50174592026679</v>
      </c>
      <c r="G338" s="540">
        <v>954.72572497928877</v>
      </c>
      <c r="H338" s="540">
        <v>967.2222987713269</v>
      </c>
      <c r="J338" s="543">
        <v>766</v>
      </c>
      <c r="K338" s="543">
        <v>766</v>
      </c>
      <c r="L338" s="543">
        <v>0</v>
      </c>
      <c r="M338" s="543">
        <v>0</v>
      </c>
      <c r="N338" s="543">
        <v>0</v>
      </c>
      <c r="O338" s="274"/>
      <c r="P338" s="274"/>
    </row>
    <row r="339" spans="1:16" customFormat="1" x14ac:dyDescent="0.25">
      <c r="A339" s="278"/>
      <c r="B339" s="278"/>
      <c r="C339" s="278"/>
      <c r="D339" s="564"/>
      <c r="E339" s="564"/>
      <c r="F339" s="564"/>
      <c r="G339" s="564"/>
      <c r="H339" s="564"/>
      <c r="J339" s="271"/>
      <c r="K339" s="271"/>
      <c r="L339" s="274"/>
      <c r="M339" s="274"/>
      <c r="N339" s="274"/>
      <c r="O339" s="274"/>
      <c r="P339" s="274"/>
    </row>
    <row r="340" spans="1:16" customFormat="1" x14ac:dyDescent="0.25">
      <c r="A340" s="278" t="s">
        <v>215</v>
      </c>
      <c r="B340" s="279"/>
      <c r="C340" s="279"/>
      <c r="D340" s="542">
        <v>5730000</v>
      </c>
      <c r="E340" s="542">
        <v>5000000</v>
      </c>
      <c r="F340" s="542">
        <v>500000</v>
      </c>
      <c r="G340" s="542">
        <v>500000</v>
      </c>
      <c r="H340" s="542">
        <v>500000</v>
      </c>
      <c r="J340" s="271"/>
      <c r="K340" s="271"/>
      <c r="L340" s="274"/>
      <c r="M340" s="274"/>
      <c r="N340" s="274"/>
      <c r="O340" s="274"/>
      <c r="P340" s="274"/>
    </row>
    <row r="341" spans="1:16" customFormat="1" x14ac:dyDescent="0.25">
      <c r="A341" s="278"/>
      <c r="B341" s="278"/>
      <c r="C341" s="278"/>
      <c r="D341" s="564"/>
      <c r="E341" s="564"/>
      <c r="F341" s="564"/>
      <c r="G341" s="564"/>
      <c r="H341" s="564"/>
      <c r="J341" s="280"/>
      <c r="K341" s="280"/>
      <c r="L341" s="274"/>
      <c r="M341" s="274"/>
      <c r="N341" s="274"/>
      <c r="O341" s="274"/>
      <c r="P341" s="274"/>
    </row>
    <row r="342" spans="1:16" customFormat="1" x14ac:dyDescent="0.25">
      <c r="A342" s="278" t="s">
        <v>216</v>
      </c>
      <c r="B342" s="279"/>
      <c r="C342" s="279"/>
      <c r="D342" s="542">
        <v>750000</v>
      </c>
      <c r="E342" s="542">
        <v>50000</v>
      </c>
      <c r="F342" s="542">
        <v>100000</v>
      </c>
      <c r="G342" s="542">
        <v>50000</v>
      </c>
      <c r="H342" s="542">
        <v>50000</v>
      </c>
      <c r="J342" s="272"/>
      <c r="K342" s="271"/>
      <c r="L342" s="276"/>
      <c r="M342" s="276"/>
      <c r="N342" s="276"/>
      <c r="O342" s="276"/>
      <c r="P342" s="276"/>
    </row>
    <row r="343" spans="1:16" customFormat="1" x14ac:dyDescent="0.25">
      <c r="A343" s="278"/>
      <c r="B343" s="278"/>
      <c r="C343" s="278"/>
      <c r="D343" s="564"/>
      <c r="E343" s="564"/>
      <c r="F343" s="564"/>
      <c r="G343" s="564"/>
      <c r="H343" s="564"/>
      <c r="J343" s="271"/>
      <c r="K343" s="271"/>
      <c r="L343" s="277"/>
      <c r="M343" s="277"/>
      <c r="N343" s="277"/>
      <c r="O343" s="277"/>
      <c r="P343" s="277"/>
    </row>
    <row r="344" spans="1:16" customFormat="1" x14ac:dyDescent="0.25">
      <c r="J344" s="271"/>
      <c r="K344" s="271"/>
      <c r="L344" s="274"/>
      <c r="M344" s="274"/>
      <c r="N344" s="274"/>
      <c r="O344" s="274"/>
      <c r="P344" s="274"/>
    </row>
    <row r="345" spans="1:16" customFormat="1" x14ac:dyDescent="0.25">
      <c r="J345" s="271"/>
      <c r="K345" s="271"/>
      <c r="L345" s="274"/>
      <c r="M345" s="274"/>
      <c r="N345" s="274"/>
      <c r="O345" s="274"/>
      <c r="P345" s="274"/>
    </row>
    <row r="346" spans="1:16" customFormat="1" x14ac:dyDescent="0.25">
      <c r="A346" s="264" t="s">
        <v>217</v>
      </c>
      <c r="B346" s="265"/>
      <c r="C346" s="265"/>
      <c r="D346" s="266">
        <v>2006</v>
      </c>
      <c r="E346" s="266">
        <v>2007</v>
      </c>
      <c r="F346" s="266">
        <v>2008</v>
      </c>
      <c r="G346" s="266">
        <v>2009</v>
      </c>
      <c r="H346" s="266">
        <v>2010</v>
      </c>
      <c r="J346" s="266">
        <v>2006</v>
      </c>
      <c r="K346" s="266">
        <v>2007</v>
      </c>
      <c r="L346" s="266">
        <v>2008</v>
      </c>
      <c r="M346" s="266">
        <v>2009</v>
      </c>
      <c r="N346" s="266">
        <v>2010</v>
      </c>
      <c r="O346" s="274"/>
      <c r="P346" s="274"/>
    </row>
    <row r="347" spans="1:16" customFormat="1" x14ac:dyDescent="0.25">
      <c r="J347" s="271"/>
      <c r="K347" s="271"/>
      <c r="L347" s="274"/>
      <c r="M347" s="274"/>
      <c r="N347" s="274"/>
      <c r="O347" s="274"/>
      <c r="P347" s="274"/>
    </row>
    <row r="348" spans="1:16" customFormat="1" x14ac:dyDescent="0.25">
      <c r="A348" s="281" t="s">
        <v>51</v>
      </c>
      <c r="B348" s="281"/>
      <c r="C348" s="281"/>
      <c r="J348" s="270" t="s">
        <v>218</v>
      </c>
      <c r="K348" s="271"/>
      <c r="L348" s="274"/>
      <c r="M348" s="274"/>
      <c r="N348" s="274"/>
      <c r="O348" s="274"/>
      <c r="P348" s="274"/>
    </row>
    <row r="349" spans="1:16" customFormat="1" x14ac:dyDescent="0.25">
      <c r="A349" s="264" t="s">
        <v>219</v>
      </c>
      <c r="B349" s="264"/>
      <c r="C349" s="264"/>
      <c r="D349" s="545">
        <v>1.640241300098602</v>
      </c>
      <c r="E349" s="545">
        <v>1.6395822818441947</v>
      </c>
      <c r="F349" s="545">
        <v>1.6405941226017764</v>
      </c>
      <c r="G349" s="545">
        <v>1.64</v>
      </c>
      <c r="H349" s="545">
        <v>1.64</v>
      </c>
      <c r="J349" s="543">
        <v>747451</v>
      </c>
      <c r="K349" s="543">
        <v>759339.75</v>
      </c>
      <c r="L349" s="543">
        <v>748509.32542202831</v>
      </c>
      <c r="M349" s="543">
        <v>737857.94078350009</v>
      </c>
      <c r="N349" s="543">
        <v>727740.97618373868</v>
      </c>
      <c r="O349" s="274"/>
      <c r="P349" s="274"/>
    </row>
    <row r="350" spans="1:16" customFormat="1" x14ac:dyDescent="0.25">
      <c r="A350" s="268" t="s">
        <v>220</v>
      </c>
      <c r="D350" s="546">
        <v>420000</v>
      </c>
      <c r="E350" s="546">
        <v>420000</v>
      </c>
      <c r="F350" s="546">
        <v>420000</v>
      </c>
      <c r="G350" s="546">
        <v>420000</v>
      </c>
      <c r="H350" s="546">
        <v>420000</v>
      </c>
      <c r="J350" s="272"/>
      <c r="K350" s="271"/>
      <c r="L350" s="276"/>
      <c r="M350" s="276"/>
      <c r="N350" s="276"/>
      <c r="O350" s="276"/>
      <c r="P350" s="276"/>
    </row>
    <row r="351" spans="1:16" customFormat="1" x14ac:dyDescent="0.25">
      <c r="A351" s="268" t="s">
        <v>214</v>
      </c>
      <c r="B351" s="268"/>
      <c r="C351" s="268"/>
      <c r="D351" s="546">
        <v>600000</v>
      </c>
      <c r="E351" s="546">
        <v>600000</v>
      </c>
      <c r="F351" s="546">
        <v>600000</v>
      </c>
      <c r="G351" s="546">
        <v>600000</v>
      </c>
      <c r="H351" s="546">
        <v>600000</v>
      </c>
      <c r="J351" s="272"/>
      <c r="K351" s="271"/>
      <c r="L351" s="276"/>
      <c r="M351" s="276"/>
      <c r="N351" s="276"/>
      <c r="O351" s="276"/>
      <c r="P351" s="276"/>
    </row>
    <row r="352" spans="1:16" customFormat="1" x14ac:dyDescent="0.25">
      <c r="D352" s="547"/>
      <c r="E352" s="547"/>
      <c r="F352" s="547"/>
      <c r="G352" s="547"/>
      <c r="H352" s="547"/>
      <c r="J352" s="271"/>
      <c r="K352" s="271"/>
      <c r="L352" s="277"/>
      <c r="M352" s="277"/>
      <c r="N352" s="277"/>
      <c r="O352" s="277"/>
      <c r="P352" s="277"/>
    </row>
    <row r="353" spans="1:16" customFormat="1" x14ac:dyDescent="0.25">
      <c r="A353" s="281" t="s">
        <v>221</v>
      </c>
      <c r="B353" s="281"/>
      <c r="C353" s="281"/>
      <c r="D353" s="547"/>
      <c r="E353" s="547"/>
      <c r="F353" s="547"/>
      <c r="G353" s="547"/>
      <c r="H353" s="547"/>
      <c r="J353" s="271"/>
      <c r="K353" s="271"/>
      <c r="L353" s="274"/>
      <c r="M353" s="274"/>
      <c r="N353" s="274"/>
      <c r="O353" s="274"/>
      <c r="P353" s="274"/>
    </row>
    <row r="354" spans="1:16" customFormat="1" x14ac:dyDescent="0.25">
      <c r="A354" s="268" t="s">
        <v>222</v>
      </c>
      <c r="B354" s="268"/>
      <c r="C354" s="268"/>
      <c r="D354" s="547"/>
      <c r="E354" s="547"/>
      <c r="F354" s="547"/>
      <c r="G354" s="547"/>
      <c r="H354" s="547"/>
      <c r="J354" s="264" t="s">
        <v>207</v>
      </c>
      <c r="K354" s="271"/>
      <c r="L354" s="274"/>
      <c r="M354" s="274"/>
      <c r="N354" s="274"/>
      <c r="O354" s="274"/>
      <c r="P354" s="274"/>
    </row>
    <row r="355" spans="1:16" customFormat="1" x14ac:dyDescent="0.25">
      <c r="A355" t="s">
        <v>213</v>
      </c>
      <c r="D355" s="547"/>
      <c r="E355" s="547"/>
      <c r="F355" s="547"/>
      <c r="G355" s="547"/>
      <c r="H355" s="547"/>
      <c r="J355" s="271"/>
      <c r="K355" s="271"/>
      <c r="L355" s="274"/>
      <c r="M355" s="274"/>
      <c r="N355" s="274"/>
      <c r="O355" s="274"/>
      <c r="P355" s="274"/>
    </row>
    <row r="356" spans="1:16" customFormat="1" x14ac:dyDescent="0.25">
      <c r="A356" t="s">
        <v>191</v>
      </c>
      <c r="D356" s="545">
        <v>34.6</v>
      </c>
      <c r="E356" s="545">
        <v>35.110669999999999</v>
      </c>
      <c r="F356" s="545">
        <v>35.632727940999999</v>
      </c>
      <c r="G356" s="545">
        <v>36.166427774084298</v>
      </c>
      <c r="H356" s="545">
        <v>36.712029113446377</v>
      </c>
      <c r="J356" s="274">
        <f>J332</f>
        <v>6500</v>
      </c>
      <c r="K356" s="274">
        <f>K332</f>
        <v>0</v>
      </c>
      <c r="L356" s="274">
        <f>L332</f>
        <v>0</v>
      </c>
      <c r="M356" s="274">
        <f>M332</f>
        <v>0</v>
      </c>
      <c r="N356" s="274">
        <f>N332</f>
        <v>0</v>
      </c>
      <c r="O356" s="274"/>
      <c r="P356" s="274"/>
    </row>
    <row r="357" spans="1:16" customFormat="1" x14ac:dyDescent="0.25">
      <c r="A357" t="s">
        <v>192</v>
      </c>
      <c r="D357" s="541"/>
      <c r="E357" s="541"/>
      <c r="F357" s="541"/>
      <c r="G357" s="541"/>
      <c r="H357" s="541"/>
      <c r="J357" s="271"/>
      <c r="K357" s="271"/>
      <c r="L357" s="274"/>
      <c r="M357" s="274"/>
      <c r="N357" s="274"/>
      <c r="O357" s="274"/>
      <c r="P357" s="274"/>
    </row>
    <row r="358" spans="1:16" customFormat="1" x14ac:dyDescent="0.25">
      <c r="A358" t="s">
        <v>209</v>
      </c>
      <c r="D358" s="545">
        <v>34.6</v>
      </c>
      <c r="E358" s="545">
        <v>35.110669999999999</v>
      </c>
      <c r="F358" s="545">
        <v>35.632727940999999</v>
      </c>
      <c r="G358" s="545">
        <v>36.166427774084298</v>
      </c>
      <c r="H358" s="545">
        <v>36.712029113446377</v>
      </c>
      <c r="J358" s="274">
        <f t="shared" ref="J358:N362" si="8">J334</f>
        <v>0</v>
      </c>
      <c r="K358" s="274">
        <f t="shared" si="8"/>
        <v>0</v>
      </c>
      <c r="L358" s="274">
        <f t="shared" si="8"/>
        <v>6123.9024244176217</v>
      </c>
      <c r="M358" s="274">
        <f t="shared" si="8"/>
        <v>6123.9024244176217</v>
      </c>
      <c r="N358" s="274">
        <f t="shared" si="8"/>
        <v>6123.9024244176217</v>
      </c>
      <c r="O358" s="274"/>
      <c r="P358" s="274"/>
    </row>
    <row r="359" spans="1:16" customFormat="1" x14ac:dyDescent="0.25">
      <c r="A359" t="s">
        <v>210</v>
      </c>
      <c r="D359" s="545">
        <v>34.6</v>
      </c>
      <c r="E359" s="545">
        <v>35.110669999999999</v>
      </c>
      <c r="F359" s="545">
        <v>35.632727940999999</v>
      </c>
      <c r="G359" s="545">
        <v>36.166427774084298</v>
      </c>
      <c r="H359" s="545">
        <v>36.712029113446377</v>
      </c>
      <c r="I359" s="271"/>
      <c r="J359" s="274">
        <f t="shared" si="8"/>
        <v>4255</v>
      </c>
      <c r="K359" s="274">
        <f t="shared" si="8"/>
        <v>4255</v>
      </c>
      <c r="L359" s="274">
        <f t="shared" si="8"/>
        <v>19897</v>
      </c>
      <c r="M359" s="274">
        <f t="shared" si="8"/>
        <v>19897</v>
      </c>
      <c r="N359" s="274">
        <f t="shared" si="8"/>
        <v>19897</v>
      </c>
      <c r="O359" s="276"/>
      <c r="P359" s="276"/>
    </row>
    <row r="360" spans="1:16" customFormat="1" x14ac:dyDescent="0.25">
      <c r="A360" t="s">
        <v>211</v>
      </c>
      <c r="D360" s="545">
        <v>34.6</v>
      </c>
      <c r="E360" s="545">
        <v>35.110669999999999</v>
      </c>
      <c r="F360" s="545">
        <v>35.632727940999999</v>
      </c>
      <c r="G360" s="545">
        <v>36.166427774084298</v>
      </c>
      <c r="H360" s="545">
        <v>36.712029113446377</v>
      </c>
      <c r="I360" s="271"/>
      <c r="J360" s="274">
        <f t="shared" si="8"/>
        <v>3157</v>
      </c>
      <c r="K360" s="274">
        <f t="shared" si="8"/>
        <v>3157</v>
      </c>
      <c r="L360" s="274">
        <f t="shared" si="8"/>
        <v>8628</v>
      </c>
      <c r="M360" s="274">
        <f t="shared" si="8"/>
        <v>8628</v>
      </c>
      <c r="N360" s="274">
        <f t="shared" si="8"/>
        <v>8268</v>
      </c>
      <c r="O360" s="277"/>
      <c r="P360" s="277"/>
    </row>
    <row r="361" spans="1:16" customFormat="1" x14ac:dyDescent="0.25">
      <c r="A361" t="s">
        <v>362</v>
      </c>
      <c r="D361" s="545">
        <v>34.6</v>
      </c>
      <c r="E361" s="545">
        <v>35.110669999999999</v>
      </c>
      <c r="F361" s="545">
        <v>35.632727940999999</v>
      </c>
      <c r="G361" s="545">
        <v>36.166427774084298</v>
      </c>
      <c r="H361" s="545">
        <v>36.712029113446377</v>
      </c>
      <c r="I361" s="271"/>
      <c r="J361" s="274">
        <f t="shared" si="8"/>
        <v>468.67173433833449</v>
      </c>
      <c r="K361" s="274">
        <f t="shared" si="8"/>
        <v>468.55725663087549</v>
      </c>
      <c r="L361" s="274">
        <f t="shared" si="8"/>
        <v>17759.590336343601</v>
      </c>
      <c r="M361" s="274">
        <f t="shared" si="8"/>
        <v>17759.590336343601</v>
      </c>
      <c r="N361" s="274">
        <f t="shared" si="8"/>
        <v>17759.590336343601</v>
      </c>
      <c r="O361" s="274"/>
      <c r="P361" s="274"/>
    </row>
    <row r="362" spans="1:16" customFormat="1" x14ac:dyDescent="0.25">
      <c r="A362" t="s">
        <v>212</v>
      </c>
      <c r="D362" s="545">
        <v>34.6</v>
      </c>
      <c r="E362" s="545">
        <v>35.110669999999999</v>
      </c>
      <c r="F362" s="545">
        <v>35.632727940999999</v>
      </c>
      <c r="G362" s="545">
        <v>36.166427774084298</v>
      </c>
      <c r="H362" s="545">
        <v>36.712029113446377</v>
      </c>
      <c r="I362" s="271"/>
      <c r="J362" s="274">
        <f t="shared" si="8"/>
        <v>766</v>
      </c>
      <c r="K362" s="274">
        <f t="shared" si="8"/>
        <v>766</v>
      </c>
      <c r="L362" s="274">
        <f t="shared" si="8"/>
        <v>0</v>
      </c>
      <c r="M362" s="274">
        <f t="shared" si="8"/>
        <v>0</v>
      </c>
      <c r="N362" s="274">
        <f t="shared" si="8"/>
        <v>0</v>
      </c>
      <c r="O362" s="274"/>
      <c r="P362" s="274"/>
    </row>
    <row r="363" spans="1:16" customFormat="1" x14ac:dyDescent="0.25">
      <c r="D363" s="541"/>
      <c r="E363" s="541"/>
      <c r="F363" s="541"/>
      <c r="G363" s="541"/>
      <c r="H363" s="541"/>
      <c r="I363" s="271"/>
      <c r="J363" s="267"/>
      <c r="K363" s="267"/>
      <c r="L363" s="274"/>
      <c r="M363" s="274"/>
      <c r="N363" s="274"/>
      <c r="O363" s="274"/>
      <c r="P363" s="274"/>
    </row>
    <row r="364" spans="1:16" customFormat="1" x14ac:dyDescent="0.25">
      <c r="A364" s="282" t="s">
        <v>223</v>
      </c>
      <c r="B364" s="282"/>
      <c r="C364" s="282"/>
      <c r="D364" s="541"/>
      <c r="E364" s="541"/>
      <c r="F364" s="541"/>
      <c r="G364" s="541"/>
      <c r="H364" s="541"/>
      <c r="I364" s="271"/>
      <c r="N364" s="276"/>
      <c r="O364" s="276"/>
      <c r="P364" s="276"/>
    </row>
    <row r="365" spans="1:16" customFormat="1" x14ac:dyDescent="0.25">
      <c r="A365" s="283" t="s">
        <v>191</v>
      </c>
      <c r="B365" s="283"/>
      <c r="C365" s="283"/>
      <c r="D365" s="545">
        <v>1.5</v>
      </c>
      <c r="E365" s="545">
        <v>1.5</v>
      </c>
      <c r="F365" s="545">
        <v>1.5</v>
      </c>
      <c r="G365" s="545">
        <v>1.5</v>
      </c>
      <c r="H365" s="545">
        <v>1.5</v>
      </c>
      <c r="I365" s="271"/>
      <c r="N365" s="271"/>
      <c r="O365" s="271"/>
      <c r="P365" s="271"/>
    </row>
    <row r="366" spans="1:16" customFormat="1" x14ac:dyDescent="0.25">
      <c r="A366" s="283" t="s">
        <v>224</v>
      </c>
      <c r="B366" s="283"/>
      <c r="C366" s="283"/>
      <c r="D366" s="545">
        <v>2.5</v>
      </c>
      <c r="E366" s="545">
        <v>2.5</v>
      </c>
      <c r="F366" s="545">
        <v>2.5</v>
      </c>
      <c r="G366" s="545">
        <v>2.5</v>
      </c>
      <c r="H366" s="545">
        <v>2.5</v>
      </c>
      <c r="I366" s="271"/>
      <c r="J366" s="271"/>
      <c r="K366" s="271"/>
      <c r="L366" s="271"/>
      <c r="M366" s="271"/>
      <c r="N366" s="271"/>
      <c r="O366" s="271"/>
      <c r="P366" s="271"/>
    </row>
    <row r="367" spans="1:16" customFormat="1" x14ac:dyDescent="0.25">
      <c r="A367" s="283" t="s">
        <v>225</v>
      </c>
      <c r="B367" s="283"/>
      <c r="C367" s="283"/>
      <c r="D367" s="545">
        <v>4.5</v>
      </c>
      <c r="E367" s="545">
        <v>4.5</v>
      </c>
      <c r="F367" s="545">
        <v>4.5</v>
      </c>
      <c r="G367" s="545">
        <v>4.5</v>
      </c>
      <c r="H367" s="545">
        <v>4.5</v>
      </c>
      <c r="I367" s="271"/>
      <c r="J367" s="271"/>
      <c r="K367" s="271"/>
      <c r="L367" s="271"/>
      <c r="M367" s="271"/>
      <c r="N367" s="271"/>
      <c r="O367" s="271"/>
      <c r="P367" s="271"/>
    </row>
    <row r="368" spans="1:16" customFormat="1" x14ac:dyDescent="0.25">
      <c r="A368" s="283" t="s">
        <v>226</v>
      </c>
      <c r="B368" s="283"/>
      <c r="C368" s="283"/>
      <c r="D368" s="545">
        <v>6.2</v>
      </c>
      <c r="E368" s="545">
        <v>6.2</v>
      </c>
      <c r="F368" s="545">
        <v>6.2</v>
      </c>
      <c r="G368" s="545">
        <v>6.2</v>
      </c>
      <c r="H368" s="545">
        <v>6.2</v>
      </c>
      <c r="I368" s="271"/>
      <c r="J368" s="271"/>
      <c r="K368" s="271"/>
      <c r="L368" s="271"/>
      <c r="M368" s="271"/>
      <c r="N368" s="271"/>
      <c r="O368" s="271"/>
      <c r="P368" s="271"/>
    </row>
    <row r="369" spans="1:16" customFormat="1" x14ac:dyDescent="0.25">
      <c r="D369" s="547"/>
      <c r="E369" s="547"/>
      <c r="F369" s="547"/>
      <c r="G369" s="547"/>
      <c r="H369" s="547"/>
      <c r="I369" s="271"/>
      <c r="J369" s="264" t="s">
        <v>227</v>
      </c>
      <c r="K369" s="271"/>
      <c r="L369" s="276"/>
      <c r="M369" s="276"/>
      <c r="N369" s="271"/>
      <c r="O369" s="271"/>
      <c r="P369" s="271"/>
    </row>
    <row r="370" spans="1:16" customFormat="1" x14ac:dyDescent="0.25">
      <c r="A370" t="s">
        <v>228</v>
      </c>
      <c r="D370" s="547"/>
      <c r="E370" s="547"/>
      <c r="F370" s="547"/>
      <c r="G370" s="547"/>
      <c r="H370" s="547"/>
      <c r="J370" s="548">
        <v>2840.5</v>
      </c>
      <c r="K370" s="548">
        <v>0</v>
      </c>
      <c r="L370" s="548">
        <v>0</v>
      </c>
      <c r="M370" s="548">
        <v>0</v>
      </c>
      <c r="N370" s="548">
        <v>0</v>
      </c>
    </row>
    <row r="371" spans="1:16" customFormat="1" x14ac:dyDescent="0.25">
      <c r="A371" t="s">
        <v>229</v>
      </c>
      <c r="D371" s="547"/>
      <c r="E371" s="547"/>
      <c r="F371" s="547"/>
      <c r="G371" s="547"/>
      <c r="H371" s="547"/>
      <c r="J371" s="548">
        <v>704157.15653132333</v>
      </c>
      <c r="K371" s="548">
        <v>695525.52097347646</v>
      </c>
      <c r="L371" s="548">
        <v>605602.09639550466</v>
      </c>
      <c r="M371" s="548">
        <v>515942.71175697667</v>
      </c>
      <c r="N371" s="548">
        <v>425738.74715721508</v>
      </c>
    </row>
    <row r="372" spans="1:16" customFormat="1" x14ac:dyDescent="0.25">
      <c r="A372" t="s">
        <v>230</v>
      </c>
      <c r="D372" s="547"/>
      <c r="E372" s="547"/>
      <c r="F372" s="547"/>
      <c r="G372" s="547"/>
      <c r="H372" s="547"/>
      <c r="J372" s="548">
        <v>5242.6427209510994</v>
      </c>
      <c r="K372" s="548">
        <v>7714.5067294751007</v>
      </c>
      <c r="L372" s="548">
        <v>7022.5067294751007</v>
      </c>
      <c r="M372" s="548">
        <v>6312.5067294751007</v>
      </c>
      <c r="N372" s="548">
        <v>5576.5067294751007</v>
      </c>
    </row>
    <row r="373" spans="1:16" customFormat="1" x14ac:dyDescent="0.25">
      <c r="A373" t="s">
        <v>231</v>
      </c>
      <c r="D373" s="547"/>
      <c r="E373" s="547"/>
      <c r="F373" s="547"/>
      <c r="G373" s="547"/>
      <c r="H373" s="547"/>
      <c r="J373" s="548">
        <v>35210.700747725568</v>
      </c>
      <c r="K373" s="548">
        <v>56099.7222970484</v>
      </c>
      <c r="L373" s="548">
        <v>135884.7222970484</v>
      </c>
      <c r="M373" s="548">
        <v>215602.7222970484</v>
      </c>
      <c r="N373" s="548">
        <v>296425.72229704843</v>
      </c>
    </row>
    <row r="374" spans="1:16" customFormat="1" x14ac:dyDescent="0.25">
      <c r="D374" s="547"/>
      <c r="E374" s="547"/>
      <c r="F374" s="547"/>
      <c r="G374" s="547"/>
      <c r="H374" s="547"/>
      <c r="J374" s="284">
        <f>SUM(J370:J373)</f>
        <v>747451</v>
      </c>
      <c r="K374" s="284">
        <f>SUM(K370:K373)</f>
        <v>759339.75</v>
      </c>
      <c r="L374" s="284">
        <f>SUM(L370:L373)</f>
        <v>748509.3254220282</v>
      </c>
      <c r="M374" s="284">
        <f>SUM(M370:M373)</f>
        <v>737857.94078350021</v>
      </c>
      <c r="N374" s="284">
        <f>SUM(N370:N373)</f>
        <v>727740.97618373856</v>
      </c>
    </row>
    <row r="375" spans="1:16" customFormat="1" x14ac:dyDescent="0.25">
      <c r="A375" s="278" t="s">
        <v>54</v>
      </c>
      <c r="D375" s="542">
        <v>5644406.5512591293</v>
      </c>
      <c r="E375" s="542">
        <v>5765762.3580535455</v>
      </c>
      <c r="F375" s="542">
        <v>5765762.3580535455</v>
      </c>
      <c r="G375" s="542">
        <v>5765762.3580535455</v>
      </c>
      <c r="H375" s="542">
        <v>5765762.3580535455</v>
      </c>
    </row>
    <row r="376" spans="1:16" customFormat="1" x14ac:dyDescent="0.25"/>
    <row r="377" spans="1:16" customFormat="1" x14ac:dyDescent="0.25">
      <c r="A377" s="285"/>
      <c r="B377" s="285"/>
      <c r="C377" s="285"/>
      <c r="D377" s="285"/>
      <c r="E377" s="285"/>
      <c r="F377" s="285"/>
      <c r="G377" s="285"/>
      <c r="H377" s="285"/>
      <c r="I377" s="285"/>
      <c r="J377" s="285"/>
      <c r="K377" s="285"/>
      <c r="L377" s="285"/>
      <c r="M377" s="285"/>
      <c r="N377" s="285"/>
    </row>
    <row r="378" spans="1:16" customFormat="1" x14ac:dyDescent="0.25"/>
    <row r="379" spans="1:16" customFormat="1" x14ac:dyDescent="0.25"/>
    <row r="380" spans="1:16" customFormat="1" x14ac:dyDescent="0.25">
      <c r="A380" s="264" t="s">
        <v>232</v>
      </c>
      <c r="B380" s="265"/>
      <c r="C380" s="265"/>
      <c r="D380" s="266">
        <v>2006</v>
      </c>
      <c r="E380" s="266">
        <v>2007</v>
      </c>
      <c r="F380" s="266">
        <v>2008</v>
      </c>
      <c r="G380" s="266">
        <v>2009</v>
      </c>
      <c r="H380" s="266">
        <v>2010</v>
      </c>
      <c r="J380" s="266">
        <v>2006</v>
      </c>
      <c r="K380" s="266">
        <v>2007</v>
      </c>
      <c r="L380" s="266">
        <v>2008</v>
      </c>
      <c r="M380" s="266">
        <v>2009</v>
      </c>
      <c r="N380" s="266">
        <v>2010</v>
      </c>
    </row>
    <row r="381" spans="1:16" customFormat="1" x14ac:dyDescent="0.25">
      <c r="A381" s="130" t="s">
        <v>203</v>
      </c>
    </row>
    <row r="382" spans="1:16" customFormat="1" ht="15.6" x14ac:dyDescent="0.3">
      <c r="A382" s="130"/>
      <c r="C382" s="286" t="s">
        <v>363</v>
      </c>
      <c r="D382" s="549">
        <v>1</v>
      </c>
    </row>
    <row r="383" spans="1:16" customFormat="1" x14ac:dyDescent="0.25">
      <c r="D383" s="133" t="s">
        <v>233</v>
      </c>
      <c r="J383" s="133" t="s">
        <v>23</v>
      </c>
    </row>
    <row r="384" spans="1:16" customFormat="1" x14ac:dyDescent="0.25">
      <c r="A384" s="255" t="s">
        <v>234</v>
      </c>
      <c r="B384" s="255"/>
      <c r="C384" s="255"/>
      <c r="D384" t="s">
        <v>235</v>
      </c>
      <c r="J384" s="267"/>
      <c r="K384" s="267"/>
      <c r="L384" s="267"/>
      <c r="M384" s="267"/>
      <c r="N384" s="267"/>
    </row>
    <row r="385" spans="1:19" customFormat="1" x14ac:dyDescent="0.25">
      <c r="A385" s="126" t="s">
        <v>236</v>
      </c>
      <c r="B385" s="126"/>
      <c r="C385" s="550">
        <v>42.070596695126952</v>
      </c>
      <c r="D385" s="287">
        <f>C385*$D$382</f>
        <v>42.070596695126952</v>
      </c>
      <c r="E385" s="288">
        <f t="shared" ref="E385:H388" si="9">D385*(1-$D$29)</f>
        <v>50.484716034152342</v>
      </c>
      <c r="F385" s="288">
        <f t="shared" si="9"/>
        <v>60.581659240982809</v>
      </c>
      <c r="G385" s="288">
        <f t="shared" si="9"/>
        <v>72.697991089179368</v>
      </c>
      <c r="H385" s="288">
        <f t="shared" si="9"/>
        <v>87.237589307015242</v>
      </c>
      <c r="J385" s="289">
        <f t="shared" ref="J385:N388" si="10">J370</f>
        <v>2840.5</v>
      </c>
      <c r="K385" s="289">
        <f t="shared" si="10"/>
        <v>0</v>
      </c>
      <c r="L385" s="289">
        <f t="shared" si="10"/>
        <v>0</v>
      </c>
      <c r="M385" s="289">
        <f t="shared" si="10"/>
        <v>0</v>
      </c>
      <c r="N385" s="289">
        <f t="shared" si="10"/>
        <v>0</v>
      </c>
      <c r="O385" s="290"/>
      <c r="P385" s="290"/>
      <c r="Q385" s="290"/>
      <c r="R385" s="290"/>
      <c r="S385" s="290"/>
    </row>
    <row r="386" spans="1:19" customFormat="1" x14ac:dyDescent="0.25">
      <c r="A386" s="126" t="s">
        <v>237</v>
      </c>
      <c r="B386" s="126"/>
      <c r="C386" s="550">
        <v>14.817964794680439</v>
      </c>
      <c r="D386" s="287">
        <f>C386*$D$382</f>
        <v>14.817964794680439</v>
      </c>
      <c r="E386" s="288">
        <f t="shared" si="9"/>
        <v>17.781557753616525</v>
      </c>
      <c r="F386" s="288">
        <f t="shared" si="9"/>
        <v>21.337869304339829</v>
      </c>
      <c r="G386" s="288">
        <f t="shared" si="9"/>
        <v>25.605443165207795</v>
      </c>
      <c r="H386" s="288">
        <f t="shared" si="9"/>
        <v>30.726531798249354</v>
      </c>
      <c r="J386" s="289">
        <f t="shared" si="10"/>
        <v>704157.15653132333</v>
      </c>
      <c r="K386" s="289">
        <f t="shared" si="10"/>
        <v>695525.52097347646</v>
      </c>
      <c r="L386" s="289">
        <f t="shared" si="10"/>
        <v>605602.09639550466</v>
      </c>
      <c r="M386" s="289">
        <f t="shared" si="10"/>
        <v>515942.71175697667</v>
      </c>
      <c r="N386" s="289">
        <f t="shared" si="10"/>
        <v>425738.74715721508</v>
      </c>
      <c r="O386" s="290"/>
      <c r="P386" s="290"/>
      <c r="Q386" s="290"/>
      <c r="R386" s="290"/>
      <c r="S386" s="290"/>
    </row>
    <row r="387" spans="1:19" customFormat="1" x14ac:dyDescent="0.25">
      <c r="A387" s="126" t="s">
        <v>238</v>
      </c>
      <c r="B387" s="126"/>
      <c r="C387" s="550">
        <v>42.070596695126952</v>
      </c>
      <c r="D387" s="287">
        <f>C387*$D$382</f>
        <v>42.070596695126952</v>
      </c>
      <c r="E387" s="288">
        <f t="shared" si="9"/>
        <v>50.484716034152342</v>
      </c>
      <c r="F387" s="288">
        <f t="shared" si="9"/>
        <v>60.581659240982809</v>
      </c>
      <c r="G387" s="288">
        <f t="shared" si="9"/>
        <v>72.697991089179368</v>
      </c>
      <c r="H387" s="288">
        <f t="shared" si="9"/>
        <v>87.237589307015242</v>
      </c>
      <c r="J387" s="289">
        <f t="shared" si="10"/>
        <v>5242.6427209510994</v>
      </c>
      <c r="K387" s="289">
        <f t="shared" si="10"/>
        <v>7714.5067294751007</v>
      </c>
      <c r="L387" s="289">
        <f t="shared" si="10"/>
        <v>7022.5067294751007</v>
      </c>
      <c r="M387" s="289">
        <f t="shared" si="10"/>
        <v>6312.5067294751007</v>
      </c>
      <c r="N387" s="289">
        <f t="shared" si="10"/>
        <v>5576.5067294751007</v>
      </c>
      <c r="O387" s="290"/>
      <c r="P387" s="290"/>
      <c r="Q387" s="290"/>
      <c r="R387" s="290"/>
      <c r="S387" s="290"/>
    </row>
    <row r="388" spans="1:19" customFormat="1" x14ac:dyDescent="0.25">
      <c r="A388" s="126" t="s">
        <v>239</v>
      </c>
      <c r="B388" s="126"/>
      <c r="C388" s="550">
        <v>14.817964794680439</v>
      </c>
      <c r="D388" s="287">
        <f>C388*$D$382</f>
        <v>14.817964794680439</v>
      </c>
      <c r="E388" s="288">
        <f t="shared" si="9"/>
        <v>17.781557753616525</v>
      </c>
      <c r="F388" s="288">
        <f t="shared" si="9"/>
        <v>21.337869304339829</v>
      </c>
      <c r="G388" s="288">
        <f t="shared" si="9"/>
        <v>25.605443165207795</v>
      </c>
      <c r="H388" s="288">
        <f t="shared" si="9"/>
        <v>30.726531798249354</v>
      </c>
      <c r="J388" s="289">
        <f t="shared" si="10"/>
        <v>35210.700747725568</v>
      </c>
      <c r="K388" s="289">
        <f t="shared" si="10"/>
        <v>56099.7222970484</v>
      </c>
      <c r="L388" s="289">
        <f t="shared" si="10"/>
        <v>135884.7222970484</v>
      </c>
      <c r="M388" s="289">
        <f t="shared" si="10"/>
        <v>215602.7222970484</v>
      </c>
      <c r="N388" s="289">
        <f t="shared" si="10"/>
        <v>296425.72229704843</v>
      </c>
      <c r="O388" s="290"/>
      <c r="P388" s="290"/>
      <c r="Q388" s="290"/>
      <c r="R388" s="290"/>
      <c r="S388" s="290"/>
    </row>
    <row r="389" spans="1:19" customFormat="1" x14ac:dyDescent="0.25">
      <c r="A389" s="126"/>
      <c r="B389" s="126"/>
      <c r="C389" s="551"/>
      <c r="D389" s="228"/>
      <c r="E389" s="228"/>
      <c r="F389" s="228"/>
      <c r="G389" s="228"/>
      <c r="H389" s="228"/>
      <c r="J389" s="284">
        <f>SUM(J385:J388)</f>
        <v>747451</v>
      </c>
      <c r="K389" s="284">
        <f>SUM(K385:K388)</f>
        <v>759339.75</v>
      </c>
      <c r="L389" s="284">
        <f>SUM(L385:L388)</f>
        <v>748509.3254220282</v>
      </c>
      <c r="M389" s="284">
        <f>SUM(M385:M388)</f>
        <v>737857.94078350021</v>
      </c>
      <c r="N389" s="284">
        <f>SUM(N385:N388)</f>
        <v>727740.97618373856</v>
      </c>
      <c r="O389" s="290"/>
      <c r="P389" s="290"/>
      <c r="Q389" s="290"/>
      <c r="R389" s="290"/>
      <c r="S389" s="290"/>
    </row>
    <row r="390" spans="1:19" customFormat="1" x14ac:dyDescent="0.25">
      <c r="A390" s="255" t="s">
        <v>234</v>
      </c>
      <c r="B390" s="255"/>
      <c r="C390" s="552"/>
      <c r="D390" t="s">
        <v>240</v>
      </c>
      <c r="E390" s="228"/>
      <c r="F390" s="228"/>
      <c r="G390" s="228"/>
      <c r="H390" s="228"/>
      <c r="J390" s="291"/>
      <c r="K390" s="291"/>
      <c r="L390" s="291"/>
      <c r="M390" s="291"/>
      <c r="N390" s="291"/>
      <c r="O390" s="292"/>
      <c r="P390" s="292"/>
      <c r="Q390" s="292"/>
      <c r="R390" s="292"/>
      <c r="S390" s="292"/>
    </row>
    <row r="391" spans="1:19" customFormat="1" x14ac:dyDescent="0.25">
      <c r="A391" s="126" t="s">
        <v>251</v>
      </c>
      <c r="B391" s="126"/>
      <c r="C391" s="550">
        <v>0</v>
      </c>
      <c r="D391" s="287">
        <f>C391*$D$382</f>
        <v>0</v>
      </c>
      <c r="E391" s="288">
        <f t="shared" ref="E391:H394" si="11">D391*(1-$D$29)</f>
        <v>0</v>
      </c>
      <c r="F391" s="288">
        <f t="shared" si="11"/>
        <v>0</v>
      </c>
      <c r="G391" s="288">
        <f t="shared" si="11"/>
        <v>0</v>
      </c>
      <c r="H391" s="288">
        <f t="shared" si="11"/>
        <v>0</v>
      </c>
      <c r="J391" s="553">
        <v>0</v>
      </c>
      <c r="K391" s="553">
        <v>0</v>
      </c>
      <c r="L391" s="553">
        <v>0</v>
      </c>
      <c r="M391" s="553">
        <v>0</v>
      </c>
      <c r="N391" s="553">
        <v>0</v>
      </c>
      <c r="O391" s="292"/>
      <c r="P391" s="271"/>
      <c r="Q391" s="271"/>
      <c r="R391" s="271"/>
      <c r="S391" s="271"/>
    </row>
    <row r="392" spans="1:19" customFormat="1" x14ac:dyDescent="0.25">
      <c r="A392" s="126" t="s">
        <v>252</v>
      </c>
      <c r="B392" s="126"/>
      <c r="C392" s="550">
        <v>0</v>
      </c>
      <c r="D392" s="287">
        <f>C392*$D$382</f>
        <v>0</v>
      </c>
      <c r="E392" s="288">
        <f t="shared" si="11"/>
        <v>0</v>
      </c>
      <c r="F392" s="288">
        <f t="shared" si="11"/>
        <v>0</v>
      </c>
      <c r="G392" s="288">
        <f t="shared" si="11"/>
        <v>0</v>
      </c>
      <c r="H392" s="288">
        <f t="shared" si="11"/>
        <v>0</v>
      </c>
      <c r="J392" s="553">
        <v>541474.83945697406</v>
      </c>
      <c r="K392" s="553">
        <v>534697.81323619781</v>
      </c>
      <c r="L392" s="553">
        <v>488233.27305191796</v>
      </c>
      <c r="M392" s="553">
        <v>441987.50174757856</v>
      </c>
      <c r="N392" s="553">
        <v>395296.78029193444</v>
      </c>
      <c r="O392" s="271"/>
      <c r="P392" s="271"/>
      <c r="Q392" s="271"/>
      <c r="R392" s="271"/>
      <c r="S392" s="271"/>
    </row>
    <row r="393" spans="1:19" customFormat="1" x14ac:dyDescent="0.25">
      <c r="A393" s="126" t="s">
        <v>253</v>
      </c>
      <c r="B393" s="126"/>
      <c r="C393" s="550">
        <v>0</v>
      </c>
      <c r="D393" s="287">
        <f>C393*$D$382</f>
        <v>0</v>
      </c>
      <c r="E393" s="288">
        <f t="shared" si="11"/>
        <v>0</v>
      </c>
      <c r="F393" s="288">
        <f t="shared" si="11"/>
        <v>0</v>
      </c>
      <c r="G393" s="288">
        <f t="shared" si="11"/>
        <v>0</v>
      </c>
      <c r="H393" s="288">
        <f t="shared" si="11"/>
        <v>0</v>
      </c>
      <c r="J393" s="553">
        <v>6508.9489249309008</v>
      </c>
      <c r="K393" s="553">
        <v>5882.9389853199536</v>
      </c>
      <c r="L393" s="553">
        <v>5218.1334253192936</v>
      </c>
      <c r="M393" s="553">
        <v>4535.2401989378968</v>
      </c>
      <c r="N393" s="553">
        <v>3829.5488259490016</v>
      </c>
      <c r="O393" s="271"/>
      <c r="P393" s="271"/>
      <c r="Q393" s="271"/>
      <c r="R393" s="271"/>
      <c r="S393" s="271"/>
    </row>
    <row r="394" spans="1:19" customFormat="1" x14ac:dyDescent="0.25">
      <c r="A394" s="126" t="s">
        <v>254</v>
      </c>
      <c r="B394" s="126"/>
      <c r="C394" s="550">
        <v>0</v>
      </c>
      <c r="D394" s="287">
        <f>C394*$D$382</f>
        <v>0</v>
      </c>
      <c r="E394" s="288">
        <f t="shared" si="11"/>
        <v>0</v>
      </c>
      <c r="F394" s="288">
        <f t="shared" si="11"/>
        <v>0</v>
      </c>
      <c r="G394" s="288">
        <f t="shared" si="11"/>
        <v>0</v>
      </c>
      <c r="H394" s="288">
        <f t="shared" si="11"/>
        <v>0</v>
      </c>
      <c r="J394" s="553">
        <v>29415.451934137975</v>
      </c>
      <c r="K394" s="553">
        <v>47080.830466136853</v>
      </c>
      <c r="L394" s="553">
        <v>105119.68334438653</v>
      </c>
      <c r="M394" s="553">
        <v>163130.54146459873</v>
      </c>
      <c r="N394" s="553">
        <v>222112.24617836383</v>
      </c>
      <c r="O394" s="271"/>
      <c r="P394" s="271"/>
      <c r="Q394" s="271"/>
      <c r="R394" s="271"/>
      <c r="S394" s="271"/>
    </row>
    <row r="395" spans="1:19" customFormat="1" x14ac:dyDescent="0.25">
      <c r="A395" s="126"/>
      <c r="B395" s="126"/>
      <c r="C395" s="551"/>
      <c r="J395" s="284">
        <f>SUM(J391:J394)</f>
        <v>577399.24031604291</v>
      </c>
      <c r="K395" s="284">
        <f>SUM(K391:K394)</f>
        <v>587661.58268765453</v>
      </c>
      <c r="L395" s="284">
        <f>SUM(L391:L394)</f>
        <v>598571.08982162375</v>
      </c>
      <c r="M395" s="284">
        <f>SUM(M391:M394)</f>
        <v>609653.28341111518</v>
      </c>
      <c r="N395" s="284">
        <f>SUM(N391:N394)</f>
        <v>621238.57529624726</v>
      </c>
      <c r="O395" s="271"/>
      <c r="P395" s="271"/>
      <c r="Q395" s="271"/>
      <c r="R395" s="271"/>
      <c r="S395" s="271"/>
    </row>
    <row r="396" spans="1:19" customFormat="1" x14ac:dyDescent="0.25">
      <c r="A396" s="255" t="s">
        <v>241</v>
      </c>
      <c r="B396" s="255"/>
      <c r="C396" s="552"/>
      <c r="O396" s="271"/>
      <c r="P396" s="271"/>
      <c r="Q396" s="271"/>
      <c r="R396" s="271"/>
      <c r="S396" s="271"/>
    </row>
    <row r="397" spans="1:19" customFormat="1" x14ac:dyDescent="0.25">
      <c r="A397" s="255" t="s">
        <v>242</v>
      </c>
      <c r="B397" s="255"/>
      <c r="C397" s="552"/>
      <c r="D397" t="s">
        <v>243</v>
      </c>
      <c r="O397" s="271"/>
      <c r="P397" s="271"/>
      <c r="Q397" s="271"/>
      <c r="R397" s="271"/>
      <c r="S397" s="271"/>
    </row>
    <row r="398" spans="1:19" customFormat="1" x14ac:dyDescent="0.25">
      <c r="A398" s="126" t="s">
        <v>244</v>
      </c>
      <c r="B398" s="126"/>
      <c r="C398" s="550">
        <v>145.88</v>
      </c>
      <c r="D398" s="293">
        <f>C398</f>
        <v>145.88</v>
      </c>
      <c r="E398" s="288">
        <f t="shared" ref="E398:H399" si="12">D398*(1-$D$29)</f>
        <v>175.05599999999998</v>
      </c>
      <c r="F398" s="288">
        <f t="shared" si="12"/>
        <v>210.06719999999999</v>
      </c>
      <c r="G398" s="288">
        <f t="shared" si="12"/>
        <v>252.08063999999996</v>
      </c>
      <c r="H398" s="288">
        <f t="shared" si="12"/>
        <v>302.49676799999992</v>
      </c>
      <c r="J398" s="553">
        <v>81</v>
      </c>
      <c r="K398" s="553">
        <v>81</v>
      </c>
      <c r="L398" s="553">
        <v>81</v>
      </c>
      <c r="M398" s="553">
        <v>81</v>
      </c>
      <c r="N398" s="553">
        <v>81</v>
      </c>
      <c r="O398" s="271"/>
      <c r="P398" s="271"/>
      <c r="Q398" s="271"/>
      <c r="R398" s="271"/>
      <c r="S398" s="271"/>
    </row>
    <row r="399" spans="1:19" customFormat="1" x14ac:dyDescent="0.25">
      <c r="A399" s="126" t="s">
        <v>245</v>
      </c>
      <c r="B399" s="126"/>
      <c r="C399" s="550">
        <v>0.95</v>
      </c>
      <c r="D399" s="293">
        <f>C399</f>
        <v>0.95</v>
      </c>
      <c r="E399" s="288">
        <f t="shared" si="12"/>
        <v>1.1399999999999999</v>
      </c>
      <c r="F399" s="288">
        <f t="shared" si="12"/>
        <v>1.3679999999999999</v>
      </c>
      <c r="G399" s="288">
        <f t="shared" si="12"/>
        <v>1.6415999999999997</v>
      </c>
      <c r="H399" s="288">
        <f t="shared" si="12"/>
        <v>1.9699199999999997</v>
      </c>
      <c r="J399" s="553">
        <v>109501</v>
      </c>
      <c r="K399" s="553">
        <v>113971</v>
      </c>
      <c r="L399" s="553">
        <v>118623</v>
      </c>
      <c r="M399" s="553">
        <v>123465</v>
      </c>
      <c r="N399" s="553">
        <v>128505</v>
      </c>
      <c r="O399" s="271"/>
      <c r="P399" s="271"/>
      <c r="Q399" s="271"/>
      <c r="R399" s="271"/>
      <c r="S399" s="271"/>
    </row>
    <row r="400" spans="1:19" customFormat="1" x14ac:dyDescent="0.25">
      <c r="A400" s="126"/>
      <c r="B400" s="126"/>
      <c r="C400" s="551"/>
      <c r="D400" s="294"/>
      <c r="E400" s="288"/>
      <c r="F400" s="288"/>
      <c r="G400" s="288"/>
      <c r="H400" s="288"/>
      <c r="J400" s="289"/>
      <c r="K400" s="289"/>
      <c r="L400" s="289"/>
      <c r="M400" s="289"/>
      <c r="N400" s="289"/>
      <c r="O400" s="271"/>
      <c r="P400" s="271"/>
      <c r="Q400" s="271"/>
      <c r="R400" s="271"/>
      <c r="S400" s="271"/>
    </row>
    <row r="401" spans="1:19" customFormat="1" x14ac:dyDescent="0.25">
      <c r="A401" s="255" t="s">
        <v>29</v>
      </c>
      <c r="B401" s="255"/>
      <c r="C401" s="552"/>
      <c r="D401" t="s">
        <v>243</v>
      </c>
      <c r="J401" s="228"/>
      <c r="K401" s="228"/>
      <c r="L401" s="228"/>
      <c r="M401" s="228"/>
      <c r="N401" s="228"/>
      <c r="O401" s="271"/>
      <c r="P401" s="271"/>
      <c r="Q401" s="271"/>
      <c r="R401" s="271"/>
      <c r="S401" s="271"/>
    </row>
    <row r="402" spans="1:19" customFormat="1" x14ac:dyDescent="0.25">
      <c r="A402" s="126" t="s">
        <v>246</v>
      </c>
      <c r="B402" s="126"/>
      <c r="C402" s="550">
        <v>2.6712717076258006</v>
      </c>
      <c r="D402" s="287">
        <f>C402*$D$382</f>
        <v>2.6712717076258006</v>
      </c>
      <c r="E402" s="295">
        <f t="shared" ref="E402:H406" si="13">D402*(1-$D$29)</f>
        <v>3.2055260491509605</v>
      </c>
      <c r="F402" s="295">
        <f t="shared" si="13"/>
        <v>3.8466312589811524</v>
      </c>
      <c r="G402" s="295">
        <f t="shared" si="13"/>
        <v>4.6159575107773829</v>
      </c>
      <c r="H402" s="295">
        <f t="shared" si="13"/>
        <v>5.5391490129328593</v>
      </c>
      <c r="J402" s="553">
        <v>327081.07016085723</v>
      </c>
      <c r="K402" s="553">
        <v>334788.23161118897</v>
      </c>
      <c r="L402" s="553">
        <v>342342.5113433029</v>
      </c>
      <c r="M402" s="553">
        <v>349977.60200844088</v>
      </c>
      <c r="N402" s="553">
        <v>358038.3536431223</v>
      </c>
      <c r="O402" s="271"/>
      <c r="P402" s="271"/>
      <c r="Q402" s="271"/>
      <c r="R402" s="271"/>
      <c r="S402" s="271"/>
    </row>
    <row r="403" spans="1:19" customFormat="1" x14ac:dyDescent="0.25">
      <c r="A403" s="126" t="s">
        <v>247</v>
      </c>
      <c r="B403" s="126"/>
      <c r="C403" s="550">
        <v>6.3748231507512765</v>
      </c>
      <c r="D403" s="287">
        <f>C403*$D$382</f>
        <v>6.3748231507512765</v>
      </c>
      <c r="E403" s="295">
        <f t="shared" si="13"/>
        <v>7.6497877809015318</v>
      </c>
      <c r="F403" s="295">
        <f t="shared" si="13"/>
        <v>9.1797453370818385</v>
      </c>
      <c r="G403" s="295">
        <f t="shared" si="13"/>
        <v>11.015694404498205</v>
      </c>
      <c r="H403" s="295">
        <f t="shared" si="13"/>
        <v>13.218833285397846</v>
      </c>
      <c r="J403" s="553">
        <v>336438.38255269907</v>
      </c>
      <c r="K403" s="553">
        <v>340055.93100589758</v>
      </c>
      <c r="L403" s="553">
        <v>321198.73973271751</v>
      </c>
      <c r="M403" s="553">
        <v>302440.52795478486</v>
      </c>
      <c r="N403" s="553">
        <v>283769.02061518887</v>
      </c>
      <c r="O403" s="271"/>
      <c r="P403" s="271"/>
      <c r="Q403" s="271"/>
      <c r="R403" s="271"/>
      <c r="S403" s="271"/>
    </row>
    <row r="404" spans="1:19" customFormat="1" x14ac:dyDescent="0.25">
      <c r="A404" s="126" t="s">
        <v>248</v>
      </c>
      <c r="B404" s="126"/>
      <c r="C404" s="550">
        <v>36.665237867209136</v>
      </c>
      <c r="D404" s="287">
        <f>C404*$D$382</f>
        <v>36.665237867209136</v>
      </c>
      <c r="E404" s="295">
        <f t="shared" si="13"/>
        <v>43.99828544065096</v>
      </c>
      <c r="F404" s="295">
        <f t="shared" si="13"/>
        <v>52.797942528781149</v>
      </c>
      <c r="G404" s="295">
        <f t="shared" si="13"/>
        <v>63.357531034537374</v>
      </c>
      <c r="H404" s="295">
        <f t="shared" si="13"/>
        <v>76.02903724144484</v>
      </c>
      <c r="J404" s="553">
        <v>82453.314942680299</v>
      </c>
      <c r="K404" s="553">
        <v>82990.399336892544</v>
      </c>
      <c r="L404" s="553">
        <v>83437.127095429198</v>
      </c>
      <c r="M404" s="553">
        <v>83883.667122120998</v>
      </c>
      <c r="N404" s="553">
        <v>84350.534545684379</v>
      </c>
      <c r="O404" s="271"/>
      <c r="P404" s="271"/>
      <c r="Q404" s="271"/>
      <c r="R404" s="271"/>
      <c r="S404" s="271"/>
    </row>
    <row r="405" spans="1:19" customFormat="1" x14ac:dyDescent="0.25">
      <c r="A405" s="126" t="s">
        <v>249</v>
      </c>
      <c r="B405" s="126"/>
      <c r="C405" s="550">
        <v>32.772471605734133</v>
      </c>
      <c r="D405" s="287">
        <f>C405*$D$382</f>
        <v>32.772471605734133</v>
      </c>
      <c r="E405" s="295">
        <f t="shared" si="13"/>
        <v>39.326965926880959</v>
      </c>
      <c r="F405" s="295">
        <f t="shared" si="13"/>
        <v>47.192359112257151</v>
      </c>
      <c r="G405" s="295">
        <f t="shared" si="13"/>
        <v>56.630830934708577</v>
      </c>
      <c r="H405" s="295">
        <f t="shared" si="13"/>
        <v>67.956997121650289</v>
      </c>
      <c r="J405" s="553">
        <v>1478.232343763259</v>
      </c>
      <c r="K405" s="553">
        <v>1505.1880460207444</v>
      </c>
      <c r="L405" s="553">
        <v>1530.9472505786187</v>
      </c>
      <c r="M405" s="553">
        <v>1556.1436981534141</v>
      </c>
      <c r="N405" s="553">
        <v>1583.0673797430527</v>
      </c>
      <c r="O405" s="271"/>
      <c r="P405" s="271"/>
      <c r="Q405" s="271"/>
      <c r="R405" s="271"/>
      <c r="S405" s="271"/>
    </row>
    <row r="406" spans="1:19" customFormat="1" x14ac:dyDescent="0.25">
      <c r="A406" s="222" t="s">
        <v>364</v>
      </c>
      <c r="B406" s="222"/>
      <c r="C406" s="222">
        <v>0</v>
      </c>
      <c r="D406" s="220">
        <f>C406*$D$382</f>
        <v>0</v>
      </c>
      <c r="E406" s="234">
        <f t="shared" si="13"/>
        <v>0</v>
      </c>
      <c r="F406" s="234">
        <f t="shared" si="13"/>
        <v>0</v>
      </c>
      <c r="G406" s="234">
        <f t="shared" si="13"/>
        <v>0</v>
      </c>
      <c r="H406" s="234">
        <f t="shared" si="13"/>
        <v>0</v>
      </c>
      <c r="I406" s="234"/>
      <c r="J406" s="236">
        <v>0</v>
      </c>
      <c r="K406" s="236">
        <v>0</v>
      </c>
      <c r="L406" s="236">
        <v>0</v>
      </c>
      <c r="M406" s="236">
        <v>0</v>
      </c>
      <c r="N406" s="236">
        <v>0</v>
      </c>
      <c r="O406" s="290"/>
      <c r="P406" s="290"/>
      <c r="Q406" s="290"/>
      <c r="R406" s="290"/>
      <c r="S406" s="290"/>
    </row>
    <row r="407" spans="1:19" customFormat="1" x14ac:dyDescent="0.25">
      <c r="A407" t="s">
        <v>45</v>
      </c>
      <c r="J407">
        <f>SUM(J402:J406)</f>
        <v>747450.99999999988</v>
      </c>
      <c r="K407">
        <f>SUM(K402:K406)</f>
        <v>759339.74999999977</v>
      </c>
      <c r="L407">
        <f>SUM(L402:L406)</f>
        <v>748509.32542202831</v>
      </c>
      <c r="M407">
        <f>SUM(M402:M406)</f>
        <v>737857.94078350009</v>
      </c>
      <c r="N407">
        <f>SUM(N402:N406)</f>
        <v>727740.97618373868</v>
      </c>
      <c r="O407" s="292"/>
      <c r="P407" s="292"/>
      <c r="Q407" s="292"/>
      <c r="R407" s="292"/>
      <c r="S407" s="292"/>
    </row>
    <row r="408" spans="1:19" customFormat="1" x14ac:dyDescent="0.25">
      <c r="O408" s="292"/>
      <c r="P408" s="271"/>
      <c r="Q408" s="271"/>
      <c r="R408" s="271"/>
      <c r="S408" s="271"/>
    </row>
    <row r="409" spans="1:19" customFormat="1" x14ac:dyDescent="0.25">
      <c r="A409" s="133" t="s">
        <v>250</v>
      </c>
      <c r="D409" s="126"/>
      <c r="O409" s="271"/>
      <c r="P409" s="271"/>
      <c r="Q409" s="271"/>
      <c r="R409" s="271"/>
      <c r="S409" s="271"/>
    </row>
    <row r="410" spans="1:19" customFormat="1" x14ac:dyDescent="0.25">
      <c r="A410" s="255" t="s">
        <v>234</v>
      </c>
      <c r="B410" s="255"/>
      <c r="C410" s="255"/>
      <c r="O410" s="271"/>
      <c r="P410" s="271"/>
      <c r="Q410" s="271"/>
      <c r="R410" s="271"/>
      <c r="S410" s="271"/>
    </row>
    <row r="411" spans="1:19" customFormat="1" x14ac:dyDescent="0.25">
      <c r="A411" s="126" t="s">
        <v>236</v>
      </c>
      <c r="B411" s="126"/>
      <c r="C411" s="126"/>
      <c r="D411" s="296">
        <f t="shared" ref="D411:H414" si="14">D385*J385</f>
        <v>119501.52991250811</v>
      </c>
      <c r="E411" s="296">
        <f t="shared" si="14"/>
        <v>0</v>
      </c>
      <c r="F411" s="296">
        <f t="shared" si="14"/>
        <v>0</v>
      </c>
      <c r="G411" s="296">
        <f t="shared" si="14"/>
        <v>0</v>
      </c>
      <c r="H411" s="296">
        <f t="shared" si="14"/>
        <v>0</v>
      </c>
    </row>
    <row r="412" spans="1:19" customFormat="1" x14ac:dyDescent="0.25">
      <c r="A412" s="126" t="s">
        <v>237</v>
      </c>
      <c r="B412" s="126"/>
      <c r="C412" s="126"/>
      <c r="D412" s="296">
        <f t="shared" si="14"/>
        <v>10434175.955403432</v>
      </c>
      <c r="E412" s="296">
        <f t="shared" si="14"/>
        <v>12367527.220304094</v>
      </c>
      <c r="F412" s="296">
        <f t="shared" si="14"/>
        <v>12922258.38332149</v>
      </c>
      <c r="G412" s="296">
        <f t="shared" si="14"/>
        <v>13210941.782396454</v>
      </c>
      <c r="H412" s="296">
        <f t="shared" si="14"/>
        <v>13081475.15227301</v>
      </c>
    </row>
    <row r="413" spans="1:19" customFormat="1" x14ac:dyDescent="0.25">
      <c r="A413" s="126" t="s">
        <v>238</v>
      </c>
      <c r="B413" s="126"/>
      <c r="C413" s="126"/>
      <c r="D413" s="296">
        <f t="shared" si="14"/>
        <v>220561.10752977669</v>
      </c>
      <c r="E413" s="296">
        <f t="shared" si="14"/>
        <v>389464.68158110778</v>
      </c>
      <c r="F413" s="296">
        <f t="shared" si="14"/>
        <v>425435.1097025692</v>
      </c>
      <c r="G413" s="296">
        <f t="shared" si="14"/>
        <v>458906.55796976568</v>
      </c>
      <c r="H413" s="296">
        <f t="shared" si="14"/>
        <v>486481.00383375556</v>
      </c>
    </row>
    <row r="414" spans="1:19" customFormat="1" x14ac:dyDescent="0.25">
      <c r="A414" s="126" t="s">
        <v>239</v>
      </c>
      <c r="B414" s="126"/>
      <c r="C414" s="126"/>
      <c r="D414" s="296">
        <f t="shared" si="14"/>
        <v>521750.92407582566</v>
      </c>
      <c r="E414" s="296">
        <f t="shared" si="14"/>
        <v>997540.45198681485</v>
      </c>
      <c r="F414" s="296">
        <f t="shared" si="14"/>
        <v>2899490.4448309313</v>
      </c>
      <c r="G414" s="296">
        <f t="shared" si="14"/>
        <v>5520603.2520411527</v>
      </c>
      <c r="H414" s="296">
        <f t="shared" si="14"/>
        <v>9108134.3819792904</v>
      </c>
    </row>
    <row r="415" spans="1:19" customFormat="1" x14ac:dyDescent="0.25">
      <c r="A415" s="126"/>
      <c r="B415" s="126"/>
      <c r="C415" s="126"/>
      <c r="D415" s="297">
        <f>SUM(D411:D414)</f>
        <v>11295989.516921543</v>
      </c>
      <c r="E415" s="297">
        <f>SUM(E411:E414)</f>
        <v>13754532.353872016</v>
      </c>
      <c r="F415" s="297">
        <f>SUM(F411:F414)</f>
        <v>16247183.93785499</v>
      </c>
      <c r="G415" s="297">
        <f>SUM(G411:G414)</f>
        <v>19190451.592407372</v>
      </c>
      <c r="H415" s="297">
        <f>SUM(H411:H414)</f>
        <v>22676090.538086057</v>
      </c>
    </row>
    <row r="416" spans="1:19" customFormat="1" x14ac:dyDescent="0.25">
      <c r="A416" s="255" t="s">
        <v>234</v>
      </c>
      <c r="B416" s="255"/>
      <c r="C416" s="255"/>
      <c r="D416" s="296"/>
      <c r="E416" s="296"/>
      <c r="F416" s="296"/>
      <c r="G416" s="296"/>
      <c r="H416" s="296"/>
    </row>
    <row r="417" spans="1:8" customFormat="1" x14ac:dyDescent="0.25">
      <c r="A417" s="126" t="s">
        <v>251</v>
      </c>
      <c r="B417" s="126"/>
      <c r="C417" s="126"/>
      <c r="D417" s="296">
        <f t="shared" ref="D417:H420" si="15">D391*J391</f>
        <v>0</v>
      </c>
      <c r="E417" s="296">
        <f t="shared" si="15"/>
        <v>0</v>
      </c>
      <c r="F417" s="296">
        <f t="shared" si="15"/>
        <v>0</v>
      </c>
      <c r="G417" s="296">
        <f t="shared" si="15"/>
        <v>0</v>
      </c>
      <c r="H417" s="296">
        <f t="shared" si="15"/>
        <v>0</v>
      </c>
    </row>
    <row r="418" spans="1:8" customFormat="1" x14ac:dyDescent="0.25">
      <c r="A418" s="126" t="s">
        <v>252</v>
      </c>
      <c r="B418" s="126"/>
      <c r="C418" s="126"/>
      <c r="D418" s="296">
        <f t="shared" si="15"/>
        <v>0</v>
      </c>
      <c r="E418" s="296">
        <f t="shared" si="15"/>
        <v>0</v>
      </c>
      <c r="F418" s="296">
        <f t="shared" si="15"/>
        <v>0</v>
      </c>
      <c r="G418" s="296">
        <f t="shared" si="15"/>
        <v>0</v>
      </c>
      <c r="H418" s="296">
        <f t="shared" si="15"/>
        <v>0</v>
      </c>
    </row>
    <row r="419" spans="1:8" customFormat="1" x14ac:dyDescent="0.25">
      <c r="A419" s="126" t="s">
        <v>253</v>
      </c>
      <c r="B419" s="126"/>
      <c r="C419" s="126"/>
      <c r="D419" s="296">
        <f t="shared" si="15"/>
        <v>0</v>
      </c>
      <c r="E419" s="296">
        <f t="shared" si="15"/>
        <v>0</v>
      </c>
      <c r="F419" s="296">
        <f t="shared" si="15"/>
        <v>0</v>
      </c>
      <c r="G419" s="296">
        <f t="shared" si="15"/>
        <v>0</v>
      </c>
      <c r="H419" s="296">
        <f t="shared" si="15"/>
        <v>0</v>
      </c>
    </row>
    <row r="420" spans="1:8" customFormat="1" x14ac:dyDescent="0.25">
      <c r="A420" s="126" t="s">
        <v>254</v>
      </c>
      <c r="B420" s="126"/>
      <c r="C420" s="126"/>
      <c r="D420" s="296">
        <f t="shared" si="15"/>
        <v>0</v>
      </c>
      <c r="E420" s="296">
        <f t="shared" si="15"/>
        <v>0</v>
      </c>
      <c r="F420" s="296">
        <f t="shared" si="15"/>
        <v>0</v>
      </c>
      <c r="G420" s="296">
        <f t="shared" si="15"/>
        <v>0</v>
      </c>
      <c r="H420" s="296">
        <f t="shared" si="15"/>
        <v>0</v>
      </c>
    </row>
    <row r="421" spans="1:8" customFormat="1" x14ac:dyDescent="0.25">
      <c r="A421" s="126"/>
      <c r="B421" s="126"/>
      <c r="C421" s="126"/>
      <c r="D421" s="297">
        <f>SUM(D417:D420)</f>
        <v>0</v>
      </c>
      <c r="E421" s="297">
        <f>SUM(E417:E420)</f>
        <v>0</v>
      </c>
      <c r="F421" s="297">
        <f>SUM(F417:F420)</f>
        <v>0</v>
      </c>
      <c r="G421" s="297">
        <f>SUM(G417:G420)</f>
        <v>0</v>
      </c>
      <c r="H421" s="297">
        <f>SUM(H417:H420)</f>
        <v>0</v>
      </c>
    </row>
    <row r="422" spans="1:8" customFormat="1" x14ac:dyDescent="0.25">
      <c r="A422" s="255" t="s">
        <v>241</v>
      </c>
      <c r="B422" s="255"/>
      <c r="C422" s="255"/>
      <c r="D422" s="296"/>
      <c r="E422" s="296"/>
      <c r="F422" s="296"/>
      <c r="G422" s="296"/>
      <c r="H422" s="296"/>
    </row>
    <row r="423" spans="1:8" customFormat="1" x14ac:dyDescent="0.25">
      <c r="A423" s="255" t="s">
        <v>242</v>
      </c>
      <c r="B423" s="255"/>
      <c r="C423" s="255"/>
      <c r="D423" s="296"/>
      <c r="E423" s="296"/>
      <c r="F423" s="296"/>
      <c r="G423" s="296"/>
      <c r="H423" s="296"/>
    </row>
    <row r="424" spans="1:8" customFormat="1" x14ac:dyDescent="0.25">
      <c r="A424" s="126" t="s">
        <v>244</v>
      </c>
      <c r="B424" s="126"/>
      <c r="C424" s="126"/>
      <c r="D424" s="296">
        <f t="shared" ref="D424:H425" si="16">D398*J398</f>
        <v>11816.279999999999</v>
      </c>
      <c r="E424" s="296">
        <f t="shared" si="16"/>
        <v>14179.535999999998</v>
      </c>
      <c r="F424" s="296">
        <f t="shared" si="16"/>
        <v>17015.443199999998</v>
      </c>
      <c r="G424" s="296">
        <f t="shared" si="16"/>
        <v>20418.531839999996</v>
      </c>
      <c r="H424" s="296">
        <f t="shared" si="16"/>
        <v>24502.238207999992</v>
      </c>
    </row>
    <row r="425" spans="1:8" customFormat="1" x14ac:dyDescent="0.25">
      <c r="A425" s="126" t="s">
        <v>245</v>
      </c>
      <c r="B425" s="126"/>
      <c r="C425" s="126"/>
      <c r="D425" s="296">
        <f t="shared" si="16"/>
        <v>104025.95</v>
      </c>
      <c r="E425" s="296">
        <f t="shared" si="16"/>
        <v>129926.93999999999</v>
      </c>
      <c r="F425" s="296">
        <f t="shared" si="16"/>
        <v>162276.264</v>
      </c>
      <c r="G425" s="296">
        <f t="shared" si="16"/>
        <v>202680.14399999997</v>
      </c>
      <c r="H425" s="296">
        <f t="shared" si="16"/>
        <v>253144.56959999996</v>
      </c>
    </row>
    <row r="426" spans="1:8" customFormat="1" x14ac:dyDescent="0.25">
      <c r="A426" s="126"/>
      <c r="B426" s="126"/>
      <c r="C426" s="126"/>
      <c r="D426" s="297">
        <f>SUM(D424:D425)</f>
        <v>115842.23</v>
      </c>
      <c r="E426" s="297">
        <f>SUM(E424:E425)</f>
        <v>144106.476</v>
      </c>
      <c r="F426" s="297">
        <f>SUM(F424:F425)</f>
        <v>179291.7072</v>
      </c>
      <c r="G426" s="297">
        <f>SUM(G424:G425)</f>
        <v>223098.67583999998</v>
      </c>
      <c r="H426" s="297">
        <f>SUM(H424:H425)</f>
        <v>277646.80780799995</v>
      </c>
    </row>
    <row r="427" spans="1:8" customFormat="1" x14ac:dyDescent="0.25">
      <c r="A427" s="126"/>
      <c r="B427" s="126"/>
      <c r="C427" s="126"/>
      <c r="D427" s="296"/>
      <c r="E427" s="296"/>
      <c r="F427" s="296"/>
      <c r="G427" s="296"/>
      <c r="H427" s="296"/>
    </row>
    <row r="428" spans="1:8" customFormat="1" x14ac:dyDescent="0.25">
      <c r="A428" s="126" t="s">
        <v>246</v>
      </c>
      <c r="B428" s="126"/>
      <c r="C428" s="126"/>
      <c r="D428" s="296">
        <f t="shared" ref="D428:H432" si="17">D402*J402</f>
        <v>873722.40882066742</v>
      </c>
      <c r="E428" s="296">
        <f t="shared" si="17"/>
        <v>1073172.3973788512</v>
      </c>
      <c r="F428" s="296">
        <f t="shared" si="17"/>
        <v>1316865.4054112588</v>
      </c>
      <c r="G428" s="296">
        <f t="shared" si="17"/>
        <v>1615481.7405947205</v>
      </c>
      <c r="H428" s="296">
        <f t="shared" si="17"/>
        <v>1983227.793174407</v>
      </c>
    </row>
    <row r="429" spans="1:8" customFormat="1" x14ac:dyDescent="0.25">
      <c r="A429" s="126" t="s">
        <v>247</v>
      </c>
      <c r="B429" s="126"/>
      <c r="C429" s="126"/>
      <c r="D429" s="296">
        <f t="shared" si="17"/>
        <v>2144735.1898982604</v>
      </c>
      <c r="E429" s="296">
        <f t="shared" si="17"/>
        <v>2601355.7058320097</v>
      </c>
      <c r="F429" s="296">
        <f t="shared" si="17"/>
        <v>2948522.6333379764</v>
      </c>
      <c r="G429" s="296">
        <f t="shared" si="17"/>
        <v>3331592.4314850066</v>
      </c>
      <c r="H429" s="296">
        <f t="shared" si="17"/>
        <v>3751095.3750728061</v>
      </c>
    </row>
    <row r="430" spans="1:8" customFormat="1" x14ac:dyDescent="0.25">
      <c r="A430" s="126" t="s">
        <v>248</v>
      </c>
      <c r="B430" s="126"/>
      <c r="C430" s="126"/>
      <c r="D430" s="296">
        <f t="shared" si="17"/>
        <v>3023170.4053132827</v>
      </c>
      <c r="E430" s="296">
        <f t="shared" si="17"/>
        <v>3651435.2788582081</v>
      </c>
      <c r="F430" s="296">
        <f t="shared" si="17"/>
        <v>4405308.641151079</v>
      </c>
      <c r="G430" s="296">
        <f t="shared" si="17"/>
        <v>5314662.0429805834</v>
      </c>
      <c r="H430" s="296">
        <f t="shared" si="17"/>
        <v>6413089.9323096173</v>
      </c>
    </row>
    <row r="431" spans="1:8" customFormat="1" x14ac:dyDescent="0.25">
      <c r="A431" s="126" t="s">
        <v>249</v>
      </c>
      <c r="B431" s="126"/>
      <c r="C431" s="126"/>
      <c r="D431" s="296">
        <f t="shared" si="17"/>
        <v>48445.32751265922</v>
      </c>
      <c r="E431" s="296">
        <f t="shared" si="17"/>
        <v>59194.478999406347</v>
      </c>
      <c r="F431" s="296">
        <f t="shared" si="17"/>
        <v>72249.012431228912</v>
      </c>
      <c r="G431" s="296">
        <f t="shared" si="17"/>
        <v>88125.710680238175</v>
      </c>
      <c r="H431" s="296">
        <f t="shared" si="17"/>
        <v>107580.5053685771</v>
      </c>
    </row>
    <row r="432" spans="1:8" customFormat="1" x14ac:dyDescent="0.25">
      <c r="A432" s="222" t="s">
        <v>364</v>
      </c>
      <c r="B432" s="222"/>
      <c r="C432" s="222"/>
      <c r="D432" s="297">
        <f>D406*J406</f>
        <v>0</v>
      </c>
      <c r="E432" s="297">
        <f t="shared" si="17"/>
        <v>0</v>
      </c>
      <c r="F432" s="297">
        <f t="shared" si="17"/>
        <v>0</v>
      </c>
      <c r="G432" s="297">
        <f t="shared" si="17"/>
        <v>0</v>
      </c>
      <c r="H432" s="297">
        <f t="shared" si="17"/>
        <v>0</v>
      </c>
    </row>
    <row r="433" spans="1:14" customFormat="1" x14ac:dyDescent="0.25">
      <c r="A433" t="s">
        <v>45</v>
      </c>
      <c r="D433">
        <f>SUM(D428:D432)</f>
        <v>6090073.3315448696</v>
      </c>
      <c r="E433">
        <f>SUM(E428:E432)</f>
        <v>7385157.8610684751</v>
      </c>
      <c r="F433">
        <f>SUM(F428:F432)</f>
        <v>8742945.6923315432</v>
      </c>
      <c r="G433">
        <f>SUM(G428:G432)</f>
        <v>10349861.925740549</v>
      </c>
      <c r="H433">
        <f>SUM(H428:H432)</f>
        <v>12254993.605925409</v>
      </c>
    </row>
    <row r="434" spans="1:14" customFormat="1" x14ac:dyDescent="0.25"/>
    <row r="435" spans="1:14" customFormat="1" ht="13.8" thickBot="1" x14ac:dyDescent="0.3">
      <c r="A435" t="s">
        <v>255</v>
      </c>
      <c r="D435" s="298">
        <f>SUM(D415,D421,D426,D433)</f>
        <v>17501905.078466412</v>
      </c>
      <c r="E435" s="298">
        <f>SUM(E415,E421,E426,E433)</f>
        <v>21283796.690940492</v>
      </c>
      <c r="F435" s="298">
        <f>SUM(F415,F421,F426,F433)</f>
        <v>25169421.337386534</v>
      </c>
      <c r="G435" s="298">
        <f>SUM(G415,G421,G426,G433)</f>
        <v>29763412.193987921</v>
      </c>
      <c r="H435" s="298">
        <f>SUM(H415,H421,H426,H433)</f>
        <v>35208730.951819465</v>
      </c>
    </row>
    <row r="436" spans="1:14" customFormat="1" ht="13.8" thickTop="1" x14ac:dyDescent="0.25">
      <c r="A436" s="268"/>
      <c r="B436" s="268"/>
      <c r="C436" s="268"/>
      <c r="D436" s="299"/>
      <c r="E436" s="299"/>
      <c r="F436" s="299"/>
      <c r="G436" s="299"/>
      <c r="H436" s="299"/>
    </row>
    <row r="437" spans="1:14" customFormat="1" x14ac:dyDescent="0.25">
      <c r="A437" s="268"/>
      <c r="B437" s="268"/>
      <c r="C437" s="268"/>
      <c r="D437" s="299"/>
      <c r="E437" s="299"/>
      <c r="F437" s="299"/>
      <c r="G437" s="299"/>
      <c r="H437" s="299"/>
    </row>
    <row r="438" spans="1:14" customFormat="1" x14ac:dyDescent="0.25">
      <c r="A438" s="268"/>
      <c r="B438" s="268"/>
      <c r="C438" s="268"/>
      <c r="D438" s="299"/>
      <c r="E438" s="299"/>
      <c r="F438" s="299"/>
      <c r="G438" s="299"/>
      <c r="H438" s="299"/>
    </row>
    <row r="439" spans="1:14" x14ac:dyDescent="0.25">
      <c r="A439" s="133"/>
      <c r="I439" s="157"/>
      <c r="J439" s="157"/>
    </row>
    <row r="440" spans="1:14" x14ac:dyDescent="0.25">
      <c r="A440" s="230"/>
      <c r="B440" s="178"/>
      <c r="C440" s="178"/>
      <c r="D440" s="178"/>
      <c r="E440" s="178"/>
      <c r="F440" s="178"/>
      <c r="G440" s="178"/>
      <c r="H440" s="178"/>
      <c r="I440" s="179"/>
      <c r="J440" s="179"/>
      <c r="K440" s="178"/>
      <c r="L440" s="178"/>
      <c r="M440" s="178"/>
      <c r="N440" s="178"/>
    </row>
    <row r="441" spans="1:14" x14ac:dyDescent="0.25">
      <c r="A441" s="133"/>
      <c r="I441" s="157"/>
      <c r="J441" s="157"/>
    </row>
    <row r="442" spans="1:14" x14ac:dyDescent="0.25">
      <c r="A442" s="133"/>
      <c r="I442" s="157"/>
      <c r="J442" s="157"/>
    </row>
  </sheetData>
  <sheetProtection sheet="1" objects="1" scenarios="1"/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C20"/>
  <sheetViews>
    <sheetView zoomScale="85" workbookViewId="0">
      <selection activeCell="B38" sqref="B38"/>
    </sheetView>
  </sheetViews>
  <sheetFormatPr defaultColWidth="9.109375" defaultRowHeight="13.2" x14ac:dyDescent="0.25"/>
  <cols>
    <col min="1" max="1" width="52.5546875" style="569" customWidth="1"/>
    <col min="2" max="2" width="10.5546875" style="569" customWidth="1"/>
    <col min="3" max="3" width="15" style="569" customWidth="1"/>
    <col min="4" max="16384" width="9.109375" style="569"/>
  </cols>
  <sheetData>
    <row r="1" spans="1:3" x14ac:dyDescent="0.25">
      <c r="A1" s="555" t="str">
        <f>'Data 2006-08'!A1</f>
        <v>SP AusNet</v>
      </c>
    </row>
    <row r="2" spans="1:3" s="570" customFormat="1" x14ac:dyDescent="0.25">
      <c r="A2" s="96"/>
    </row>
    <row r="3" spans="1:3" s="791" customFormat="1" x14ac:dyDescent="0.25">
      <c r="A3" s="571" t="s">
        <v>380</v>
      </c>
    </row>
    <row r="4" spans="1:3" s="791" customFormat="1" x14ac:dyDescent="0.25"/>
    <row r="5" spans="1:3" s="791" customFormat="1" x14ac:dyDescent="0.25">
      <c r="A5" s="572" t="s">
        <v>408</v>
      </c>
    </row>
    <row r="6" spans="1:3" s="791" customFormat="1" x14ac:dyDescent="0.25"/>
    <row r="7" spans="1:3" s="791" customFormat="1" x14ac:dyDescent="0.25">
      <c r="A7" s="572" t="s">
        <v>381</v>
      </c>
      <c r="B7" s="573"/>
      <c r="C7" s="574" t="s">
        <v>415</v>
      </c>
    </row>
    <row r="8" spans="1:3" s="791" customFormat="1" ht="13.8" x14ac:dyDescent="0.25">
      <c r="A8" s="575"/>
    </row>
    <row r="9" spans="1:3" s="791" customFormat="1" x14ac:dyDescent="0.25">
      <c r="A9" s="572" t="s">
        <v>382</v>
      </c>
    </row>
    <row r="10" spans="1:3" s="791" customFormat="1" x14ac:dyDescent="0.25"/>
    <row r="11" spans="1:3" s="791" customFormat="1" x14ac:dyDescent="0.25">
      <c r="A11" s="576" t="s">
        <v>409</v>
      </c>
      <c r="B11" s="577"/>
      <c r="C11" s="578" t="s">
        <v>22</v>
      </c>
    </row>
    <row r="12" spans="1:3" s="792" customFormat="1" x14ac:dyDescent="0.25">
      <c r="A12" s="579"/>
      <c r="B12" s="580"/>
      <c r="C12" s="581"/>
    </row>
    <row r="13" spans="1:3" s="791" customFormat="1" x14ac:dyDescent="0.25">
      <c r="A13" s="576" t="s">
        <v>410</v>
      </c>
      <c r="B13" s="577"/>
      <c r="C13" s="578" t="s">
        <v>411</v>
      </c>
    </row>
    <row r="14" spans="1:3" s="791" customFormat="1" x14ac:dyDescent="0.25">
      <c r="B14" s="793"/>
    </row>
    <row r="15" spans="1:3" s="791" customFormat="1" x14ac:dyDescent="0.25">
      <c r="A15" s="576" t="s">
        <v>412</v>
      </c>
      <c r="C15" s="578" t="s">
        <v>22</v>
      </c>
    </row>
    <row r="16" spans="1:3" s="791" customFormat="1" x14ac:dyDescent="0.25"/>
    <row r="17" spans="1:1" s="791" customFormat="1" x14ac:dyDescent="0.25">
      <c r="A17" s="576" t="s">
        <v>413</v>
      </c>
    </row>
    <row r="18" spans="1:1" s="791" customFormat="1" x14ac:dyDescent="0.25"/>
    <row r="19" spans="1:1" s="791" customFormat="1" x14ac:dyDescent="0.25"/>
    <row r="20" spans="1:1" x14ac:dyDescent="0.25">
      <c r="A20" s="785"/>
    </row>
  </sheetData>
  <phoneticPr fontId="4" type="noConversion"/>
  <printOptions gridLines="1"/>
  <pageMargins left="0.75" right="0.75" top="1" bottom="1" header="0.5" footer="0.5"/>
  <pageSetup paperSize="9" scale="76" orientation="portrait" horizontalDpi="4294967293" r:id="rId1"/>
  <headerFooter alignWithMargins="0">
    <oddFooter>&amp;L&amp;D&amp;R&amp;A \ 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 enableFormatConditionsCalculation="0">
    <tabColor indexed="43"/>
    <pageSetUpPr fitToPage="1"/>
  </sheetPr>
  <dimension ref="A1:Q122"/>
  <sheetViews>
    <sheetView zoomScale="85" zoomScaleNormal="85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J14" sqref="J14"/>
    </sheetView>
  </sheetViews>
  <sheetFormatPr defaultColWidth="9.109375" defaultRowHeight="13.2" x14ac:dyDescent="0.25"/>
  <cols>
    <col min="1" max="1" width="51.88671875" style="21" customWidth="1"/>
    <col min="2" max="2" width="6.5546875" style="85" customWidth="1"/>
    <col min="3" max="3" width="25.44140625" style="21" customWidth="1"/>
    <col min="4" max="5" width="5.6640625" style="793" customWidth="1"/>
    <col min="6" max="7" width="5.5546875" style="793" customWidth="1"/>
    <col min="8" max="10" width="11.5546875" style="21" customWidth="1"/>
    <col min="11" max="11" width="5.6640625" style="786" customWidth="1"/>
    <col min="12" max="12" width="10.77734375" style="806" customWidth="1"/>
    <col min="13" max="15" width="5.6640625" style="806" customWidth="1"/>
    <col min="16" max="17" width="11.88671875" style="21" customWidth="1"/>
    <col min="18" max="16384" width="9.109375" style="21"/>
  </cols>
  <sheetData>
    <row r="1" spans="1:17" s="1" customFormat="1" x14ac:dyDescent="0.25">
      <c r="A1" s="555" t="str">
        <f>'Data 2006-08'!$A$1</f>
        <v>SP AusNet</v>
      </c>
      <c r="B1" s="96"/>
      <c r="D1" s="786"/>
      <c r="E1" s="786"/>
      <c r="F1" s="786"/>
      <c r="G1" s="786"/>
      <c r="H1" s="4">
        <v>2013</v>
      </c>
      <c r="I1" s="5">
        <v>2014</v>
      </c>
      <c r="J1" s="6">
        <v>2015</v>
      </c>
      <c r="K1" s="56"/>
      <c r="L1" s="793"/>
      <c r="M1" s="793"/>
      <c r="N1" s="793"/>
      <c r="O1" s="793"/>
      <c r="P1" s="46">
        <f>I1</f>
        <v>2014</v>
      </c>
      <c r="Q1" s="48">
        <f>J1</f>
        <v>2015</v>
      </c>
    </row>
    <row r="2" spans="1:17" s="1" customFormat="1" ht="13.8" x14ac:dyDescent="0.25">
      <c r="A2" s="30"/>
      <c r="B2" s="95"/>
      <c r="C2" s="2"/>
      <c r="D2" s="794"/>
      <c r="E2" s="794"/>
      <c r="F2" s="794"/>
      <c r="G2" s="794"/>
      <c r="H2" s="808" t="s">
        <v>22</v>
      </c>
      <c r="I2" s="809" t="s">
        <v>22</v>
      </c>
      <c r="J2" s="810" t="s">
        <v>411</v>
      </c>
      <c r="K2" s="885"/>
      <c r="L2" s="793"/>
      <c r="M2" s="793"/>
      <c r="N2" s="793"/>
      <c r="O2" s="793"/>
      <c r="P2" s="68"/>
      <c r="Q2" s="69"/>
    </row>
    <row r="3" spans="1:17" s="1" customFormat="1" ht="15.6" x14ac:dyDescent="0.3">
      <c r="A3" s="72" t="s">
        <v>414</v>
      </c>
      <c r="B3" s="452"/>
      <c r="C3" s="2"/>
      <c r="D3" s="794"/>
      <c r="E3" s="794"/>
      <c r="F3" s="794"/>
      <c r="G3" s="794"/>
      <c r="H3" s="800" t="s">
        <v>20</v>
      </c>
      <c r="I3" s="889" t="s">
        <v>18</v>
      </c>
      <c r="J3" s="890" t="s">
        <v>18</v>
      </c>
      <c r="K3" s="885"/>
      <c r="L3" s="793"/>
      <c r="M3" s="793"/>
      <c r="N3" s="793"/>
      <c r="O3" s="793"/>
      <c r="P3" s="62" t="str">
        <f>I3</f>
        <v>Forecast</v>
      </c>
      <c r="Q3" s="64" t="str">
        <f>J3</f>
        <v>Forecast</v>
      </c>
    </row>
    <row r="4" spans="1:17" s="1" customFormat="1" ht="15.6" x14ac:dyDescent="0.3">
      <c r="B4" s="96"/>
      <c r="C4" s="41"/>
      <c r="D4" s="41"/>
      <c r="E4" s="41"/>
      <c r="F4" s="41"/>
      <c r="G4" s="41"/>
      <c r="H4" s="42"/>
      <c r="I4" s="42"/>
      <c r="J4" s="42"/>
      <c r="K4" s="42"/>
      <c r="L4" s="793"/>
      <c r="M4" s="793"/>
      <c r="N4" s="794"/>
      <c r="O4" s="794"/>
    </row>
    <row r="5" spans="1:17" s="1" customFormat="1" ht="15.6" x14ac:dyDescent="0.3">
      <c r="A5" s="97" t="s">
        <v>38</v>
      </c>
      <c r="B5" s="452"/>
      <c r="C5" s="2"/>
      <c r="D5" s="794"/>
      <c r="E5" s="794"/>
      <c r="F5" s="794"/>
      <c r="G5" s="794"/>
      <c r="H5" s="2"/>
      <c r="I5" s="2"/>
      <c r="J5" s="2"/>
      <c r="K5" s="794"/>
      <c r="L5" s="793"/>
      <c r="M5" s="793"/>
      <c r="N5" s="793"/>
      <c r="O5" s="793"/>
    </row>
    <row r="6" spans="1:17" s="1" customFormat="1" x14ac:dyDescent="0.25">
      <c r="A6" s="3"/>
      <c r="B6" s="93"/>
      <c r="C6" s="2"/>
      <c r="D6" s="794"/>
      <c r="E6" s="794"/>
      <c r="F6" s="794"/>
      <c r="G6" s="794"/>
      <c r="H6" s="2"/>
      <c r="I6" s="2"/>
      <c r="J6" s="2"/>
      <c r="K6" s="794"/>
      <c r="L6" s="794"/>
      <c r="M6" s="793"/>
      <c r="N6" s="793"/>
      <c r="O6" s="793"/>
    </row>
    <row r="7" spans="1:17" s="1" customFormat="1" x14ac:dyDescent="0.25">
      <c r="A7" s="3"/>
      <c r="B7" s="60"/>
      <c r="C7" s="2"/>
      <c r="D7" s="794"/>
      <c r="E7" s="794"/>
      <c r="F7" s="794"/>
      <c r="G7" s="794"/>
      <c r="H7" s="4">
        <f t="shared" ref="H7:J7" si="0">H$1</f>
        <v>2013</v>
      </c>
      <c r="I7" s="5">
        <f t="shared" si="0"/>
        <v>2014</v>
      </c>
      <c r="J7" s="6">
        <f t="shared" si="0"/>
        <v>2015</v>
      </c>
      <c r="K7" s="56"/>
      <c r="L7" s="794"/>
      <c r="M7" s="793"/>
      <c r="N7" s="793"/>
      <c r="O7" s="793"/>
    </row>
    <row r="8" spans="1:17" s="1" customFormat="1" x14ac:dyDescent="0.25">
      <c r="A8" s="43" t="s">
        <v>37</v>
      </c>
      <c r="B8" s="85"/>
      <c r="C8" s="33" t="s">
        <v>7</v>
      </c>
      <c r="D8" s="32"/>
      <c r="E8" s="32"/>
      <c r="F8" s="32"/>
      <c r="G8" s="32"/>
      <c r="H8" s="749" t="str">
        <f t="shared" ref="H8:J8" si="1">H$2</f>
        <v>Nominal $</v>
      </c>
      <c r="I8" s="110" t="str">
        <f t="shared" si="1"/>
        <v>Nominal $</v>
      </c>
      <c r="J8" s="750" t="str">
        <f t="shared" si="1"/>
        <v>Real 2014 $</v>
      </c>
      <c r="K8" s="885"/>
      <c r="L8" s="794"/>
      <c r="M8" s="793"/>
      <c r="N8" s="793"/>
      <c r="O8" s="793"/>
    </row>
    <row r="9" spans="1:17" s="1" customFormat="1" x14ac:dyDescent="0.25">
      <c r="A9" s="7"/>
      <c r="B9" s="86"/>
      <c r="C9" s="99" t="s">
        <v>8</v>
      </c>
      <c r="D9" s="32"/>
      <c r="E9" s="32"/>
      <c r="F9" s="32"/>
      <c r="G9" s="32"/>
      <c r="H9" s="52" t="str">
        <f t="shared" ref="H9:J9" si="2">H$3</f>
        <v>Actual</v>
      </c>
      <c r="I9" s="751" t="str">
        <f t="shared" si="2"/>
        <v>Forecast</v>
      </c>
      <c r="J9" s="752" t="str">
        <f t="shared" si="2"/>
        <v>Forecast</v>
      </c>
      <c r="K9" s="885"/>
      <c r="L9" s="794"/>
      <c r="M9" s="793"/>
      <c r="N9" s="793"/>
      <c r="O9" s="793"/>
    </row>
    <row r="10" spans="1:17" s="1" customFormat="1" x14ac:dyDescent="0.25">
      <c r="A10" s="85" t="s">
        <v>42</v>
      </c>
      <c r="B10" s="85"/>
      <c r="C10" s="106" t="s">
        <v>383</v>
      </c>
      <c r="D10" s="801"/>
      <c r="E10" s="801"/>
      <c r="F10" s="801"/>
      <c r="G10" s="801"/>
      <c r="H10" s="8">
        <v>0</v>
      </c>
      <c r="I10" s="9">
        <v>0</v>
      </c>
      <c r="J10" s="753">
        <v>0</v>
      </c>
      <c r="K10" s="119"/>
      <c r="L10" s="794"/>
      <c r="M10" s="793"/>
      <c r="N10" s="793"/>
      <c r="O10" s="793"/>
    </row>
    <row r="11" spans="1:17" s="1" customFormat="1" x14ac:dyDescent="0.25">
      <c r="A11" s="84" t="s">
        <v>260</v>
      </c>
      <c r="B11" s="85"/>
      <c r="C11" s="316" t="s">
        <v>383</v>
      </c>
      <c r="D11" s="801"/>
      <c r="E11" s="801"/>
      <c r="F11" s="801"/>
      <c r="G11" s="801"/>
      <c r="H11" s="8">
        <v>0</v>
      </c>
      <c r="I11" s="9">
        <v>0</v>
      </c>
      <c r="J11" s="10">
        <v>0</v>
      </c>
      <c r="K11" s="119"/>
      <c r="L11" s="794"/>
      <c r="M11" s="793"/>
      <c r="N11" s="793"/>
      <c r="O11" s="793"/>
    </row>
    <row r="12" spans="1:17" s="1" customFormat="1" x14ac:dyDescent="0.25">
      <c r="A12" s="318" t="s">
        <v>367</v>
      </c>
      <c r="B12" s="85"/>
      <c r="C12" s="316">
        <v>15</v>
      </c>
      <c r="D12" s="801"/>
      <c r="E12" s="801"/>
      <c r="F12" s="801"/>
      <c r="G12" s="801"/>
      <c r="H12" s="8">
        <v>94519245.480000019</v>
      </c>
      <c r="I12" s="9">
        <f>'[2]Data AMI'!M34</f>
        <v>38190492</v>
      </c>
      <c r="J12" s="10">
        <f>SUM([6]Summary!$H$4:$H$10,[6]Summary!$H$14:$H$18)</f>
        <v>6145191.3132656831</v>
      </c>
      <c r="K12" s="788"/>
      <c r="L12" s="794"/>
      <c r="M12" s="793"/>
      <c r="N12" s="793"/>
      <c r="O12" s="793"/>
    </row>
    <row r="13" spans="1:17" s="1" customFormat="1" x14ac:dyDescent="0.25">
      <c r="A13" s="318" t="s">
        <v>277</v>
      </c>
      <c r="B13" s="85"/>
      <c r="C13" s="316">
        <v>7</v>
      </c>
      <c r="D13" s="801"/>
      <c r="E13" s="801"/>
      <c r="F13" s="801"/>
      <c r="G13" s="801"/>
      <c r="H13" s="8">
        <f>'[4]CY09-CY14'!F128+'[4]CY09-CY14'!F135</f>
        <v>9036460.0667708889</v>
      </c>
      <c r="I13" s="9">
        <f>'[4]CY09-CY14'!G128+'[4]CY09-CY14'!G135</f>
        <v>17692549.152275078</v>
      </c>
      <c r="J13" s="10">
        <f>'[3]Credible claim'!$C$55*10^6-9250532+1997499</f>
        <v>41033113.678493865</v>
      </c>
      <c r="K13" s="15"/>
      <c r="L13" s="794"/>
      <c r="M13" s="793"/>
      <c r="N13" s="793"/>
      <c r="O13" s="793"/>
    </row>
    <row r="14" spans="1:17" s="1" customFormat="1" x14ac:dyDescent="0.25">
      <c r="A14" s="318" t="s">
        <v>279</v>
      </c>
      <c r="B14" s="88"/>
      <c r="C14" s="316">
        <v>7</v>
      </c>
      <c r="D14" s="801"/>
      <c r="E14" s="801"/>
      <c r="F14" s="801"/>
      <c r="G14" s="801"/>
      <c r="H14" s="8">
        <f>'[4]CY09-CY14'!F136</f>
        <v>18817796.080000002</v>
      </c>
      <c r="I14" s="9">
        <f>'[4]CY09-CY14'!G136</f>
        <v>4477818.5327962134</v>
      </c>
      <c r="J14" s="10">
        <f>[5]Calc!D51+([5]Calc!D49*[5]Calc!D58)</f>
        <v>9250532.1699746903</v>
      </c>
      <c r="K14" s="15"/>
      <c r="L14" s="794"/>
      <c r="M14" s="793"/>
      <c r="N14" s="793"/>
      <c r="O14" s="793"/>
    </row>
    <row r="15" spans="1:17" s="1" customFormat="1" x14ac:dyDescent="0.25">
      <c r="A15" s="318" t="s">
        <v>278</v>
      </c>
      <c r="B15" s="85"/>
      <c r="C15" s="107">
        <v>7</v>
      </c>
      <c r="D15" s="801"/>
      <c r="E15" s="801"/>
      <c r="F15" s="801"/>
      <c r="G15" s="801"/>
      <c r="H15" s="8">
        <v>0</v>
      </c>
      <c r="I15" s="9">
        <v>0</v>
      </c>
      <c r="J15" s="10">
        <v>0</v>
      </c>
      <c r="K15" s="15"/>
      <c r="L15" s="794"/>
      <c r="M15" s="793"/>
      <c r="N15" s="793"/>
      <c r="O15" s="793"/>
    </row>
    <row r="16" spans="1:17" s="1" customFormat="1" ht="13.8" thickBot="1" x14ac:dyDescent="0.3">
      <c r="A16" s="88" t="s">
        <v>45</v>
      </c>
      <c r="B16" s="85"/>
      <c r="C16" s="2"/>
      <c r="D16" s="794"/>
      <c r="E16" s="794"/>
      <c r="F16" s="794"/>
      <c r="G16" s="794"/>
      <c r="H16" s="11">
        <f t="shared" ref="H16:J16" si="3">SUM(H10:H15)</f>
        <v>122373501.6267709</v>
      </c>
      <c r="I16" s="12">
        <f t="shared" si="3"/>
        <v>60360859.68507129</v>
      </c>
      <c r="J16" s="13">
        <f t="shared" si="3"/>
        <v>56428837.161734238</v>
      </c>
      <c r="K16" s="15"/>
      <c r="L16" s="794">
        <v>56428837.259974681</v>
      </c>
      <c r="M16" s="793"/>
      <c r="N16" s="793"/>
      <c r="O16" s="793"/>
    </row>
    <row r="17" spans="1:15" s="1" customFormat="1" ht="13.8" thickTop="1" x14ac:dyDescent="0.25">
      <c r="A17" s="14"/>
      <c r="B17" s="91"/>
      <c r="C17" s="2"/>
      <c r="D17" s="794"/>
      <c r="E17" s="794"/>
      <c r="F17" s="794"/>
      <c r="G17" s="794"/>
      <c r="H17" s="15"/>
      <c r="I17" s="15"/>
      <c r="J17" s="15"/>
      <c r="K17" s="15"/>
      <c r="L17" s="788">
        <f>L16-J16</f>
        <v>9.82404425740242E-2</v>
      </c>
      <c r="M17" s="793"/>
      <c r="N17" s="793"/>
      <c r="O17" s="793"/>
    </row>
    <row r="18" spans="1:15" s="1" customFormat="1" x14ac:dyDescent="0.25">
      <c r="A18" s="320"/>
      <c r="B18" s="433"/>
      <c r="C18" s="2"/>
      <c r="D18" s="794"/>
      <c r="E18" s="794"/>
      <c r="F18" s="794"/>
      <c r="G18" s="794"/>
      <c r="H18" s="15"/>
      <c r="I18" s="15"/>
      <c r="J18" s="15"/>
      <c r="K18" s="15"/>
      <c r="L18" s="794"/>
      <c r="M18" s="793"/>
      <c r="N18" s="793"/>
      <c r="O18" s="793"/>
    </row>
    <row r="19" spans="1:15" s="1" customFormat="1" x14ac:dyDescent="0.25">
      <c r="A19" s="320"/>
      <c r="B19" s="85"/>
      <c r="C19" s="2"/>
      <c r="D19" s="794"/>
      <c r="E19" s="794"/>
      <c r="F19" s="794"/>
      <c r="G19" s="794"/>
      <c r="H19" s="4">
        <f t="shared" ref="H19:J19" si="4">H$1</f>
        <v>2013</v>
      </c>
      <c r="I19" s="5">
        <f t="shared" si="4"/>
        <v>2014</v>
      </c>
      <c r="J19" s="6">
        <f t="shared" si="4"/>
        <v>2015</v>
      </c>
      <c r="K19" s="15"/>
      <c r="L19" s="794"/>
      <c r="M19" s="793"/>
      <c r="N19" s="793"/>
      <c r="O19" s="793"/>
    </row>
    <row r="20" spans="1:15" s="1" customFormat="1" x14ac:dyDescent="0.25">
      <c r="A20" s="320"/>
      <c r="B20" s="85"/>
      <c r="C20" s="308" t="s">
        <v>276</v>
      </c>
      <c r="D20" s="802"/>
      <c r="E20" s="802"/>
      <c r="F20" s="802"/>
      <c r="G20" s="802"/>
      <c r="H20" s="749" t="str">
        <f t="shared" ref="H20:J20" si="5">H$2</f>
        <v>Nominal $</v>
      </c>
      <c r="I20" s="110" t="str">
        <f t="shared" si="5"/>
        <v>Nominal $</v>
      </c>
      <c r="J20" s="750" t="str">
        <f t="shared" si="5"/>
        <v>Real 2014 $</v>
      </c>
      <c r="K20" s="15"/>
      <c r="L20" s="794"/>
      <c r="M20" s="793"/>
      <c r="N20" s="793"/>
      <c r="O20" s="793"/>
    </row>
    <row r="21" spans="1:15" s="1" customFormat="1" x14ac:dyDescent="0.25">
      <c r="A21" s="74" t="s">
        <v>47</v>
      </c>
      <c r="B21" s="91"/>
      <c r="C21" s="321" t="s">
        <v>48</v>
      </c>
      <c r="D21" s="803"/>
      <c r="E21" s="803"/>
      <c r="F21" s="803"/>
      <c r="G21" s="803"/>
      <c r="H21" s="52" t="str">
        <f t="shared" ref="H21:J21" si="6">H$3</f>
        <v>Actual</v>
      </c>
      <c r="I21" s="751" t="str">
        <f t="shared" si="6"/>
        <v>Forecast</v>
      </c>
      <c r="J21" s="752" t="str">
        <f t="shared" si="6"/>
        <v>Forecast</v>
      </c>
      <c r="K21" s="15"/>
      <c r="L21" s="794"/>
      <c r="M21" s="793"/>
      <c r="N21" s="793"/>
      <c r="O21" s="793"/>
    </row>
    <row r="22" spans="1:15" s="1" customFormat="1" x14ac:dyDescent="0.25">
      <c r="A22" s="84" t="s">
        <v>368</v>
      </c>
      <c r="B22" s="91"/>
      <c r="C22" s="322">
        <v>0.375</v>
      </c>
      <c r="D22" s="804"/>
      <c r="E22" s="804"/>
      <c r="F22" s="804"/>
      <c r="G22" s="804"/>
      <c r="H22" s="325">
        <f t="shared" ref="H22:J22" si="7">SUM(H10:H12)-H23</f>
        <v>94519245.480000019</v>
      </c>
      <c r="I22" s="19">
        <f t="shared" si="7"/>
        <v>38190492</v>
      </c>
      <c r="J22" s="754">
        <f t="shared" si="7"/>
        <v>6145191.3132656831</v>
      </c>
      <c r="K22" s="15"/>
      <c r="L22" s="794"/>
      <c r="M22" s="793"/>
      <c r="N22" s="793"/>
      <c r="O22" s="793"/>
    </row>
    <row r="23" spans="1:15" s="1" customFormat="1" x14ac:dyDescent="0.25">
      <c r="A23" s="84" t="s">
        <v>369</v>
      </c>
      <c r="B23" s="88"/>
      <c r="C23" s="323">
        <v>0.06</v>
      </c>
      <c r="D23" s="805"/>
      <c r="E23" s="805"/>
      <c r="F23" s="805"/>
      <c r="G23" s="805"/>
      <c r="H23" s="8">
        <v>0</v>
      </c>
      <c r="I23" s="9">
        <v>0</v>
      </c>
      <c r="J23" s="10">
        <v>0</v>
      </c>
      <c r="K23" s="15"/>
      <c r="L23" s="794"/>
      <c r="M23" s="793"/>
      <c r="N23" s="793"/>
      <c r="O23" s="793"/>
    </row>
    <row r="24" spans="1:15" s="1" customFormat="1" x14ac:dyDescent="0.25">
      <c r="A24" s="84" t="s">
        <v>277</v>
      </c>
      <c r="B24" s="85"/>
      <c r="C24" s="323">
        <v>0.4</v>
      </c>
      <c r="D24" s="805"/>
      <c r="E24" s="805"/>
      <c r="F24" s="805"/>
      <c r="G24" s="805"/>
      <c r="H24" s="325">
        <f t="shared" ref="H24:J26" si="8">H13</f>
        <v>9036460.0667708889</v>
      </c>
      <c r="I24" s="19">
        <f t="shared" si="8"/>
        <v>17692549.152275078</v>
      </c>
      <c r="J24" s="326">
        <f t="shared" si="8"/>
        <v>41033113.678493865</v>
      </c>
      <c r="K24" s="15"/>
      <c r="L24" s="794"/>
      <c r="M24" s="793"/>
      <c r="N24" s="793"/>
      <c r="O24" s="793"/>
    </row>
    <row r="25" spans="1:15" s="1" customFormat="1" x14ac:dyDescent="0.25">
      <c r="A25" s="84" t="s">
        <v>279</v>
      </c>
      <c r="B25" s="85"/>
      <c r="C25" s="323">
        <v>0.21428571428571427</v>
      </c>
      <c r="D25" s="805"/>
      <c r="E25" s="805"/>
      <c r="F25" s="805"/>
      <c r="G25" s="805"/>
      <c r="H25" s="325">
        <f t="shared" si="8"/>
        <v>18817796.080000002</v>
      </c>
      <c r="I25" s="19">
        <f t="shared" si="8"/>
        <v>4477818.5327962134</v>
      </c>
      <c r="J25" s="326">
        <f t="shared" si="8"/>
        <v>9250532.1699746903</v>
      </c>
      <c r="K25" s="15"/>
      <c r="L25" s="794"/>
      <c r="M25" s="793"/>
      <c r="N25" s="793"/>
      <c r="O25" s="793"/>
    </row>
    <row r="26" spans="1:15" s="1" customFormat="1" x14ac:dyDescent="0.25">
      <c r="A26" s="87" t="s">
        <v>278</v>
      </c>
      <c r="B26" s="85"/>
      <c r="C26" s="324">
        <v>0.1764705882352941</v>
      </c>
      <c r="D26" s="805"/>
      <c r="E26" s="805"/>
      <c r="F26" s="805"/>
      <c r="G26" s="805"/>
      <c r="H26" s="325">
        <f t="shared" si="8"/>
        <v>0</v>
      </c>
      <c r="I26" s="19">
        <f t="shared" si="8"/>
        <v>0</v>
      </c>
      <c r="J26" s="326">
        <f t="shared" si="8"/>
        <v>0</v>
      </c>
      <c r="K26" s="15"/>
      <c r="L26" s="794"/>
      <c r="M26" s="793"/>
      <c r="N26" s="793"/>
      <c r="O26" s="793"/>
    </row>
    <row r="27" spans="1:15" s="1" customFormat="1" ht="13.8" thickBot="1" x14ac:dyDescent="0.3">
      <c r="A27" s="88" t="s">
        <v>45</v>
      </c>
      <c r="B27" s="60"/>
      <c r="C27" s="2"/>
      <c r="D27" s="794"/>
      <c r="E27" s="794"/>
      <c r="F27" s="794"/>
      <c r="G27" s="794"/>
      <c r="H27" s="11">
        <f t="shared" ref="H27:J27" si="9">SUM(H21:H26)</f>
        <v>122373501.6267709</v>
      </c>
      <c r="I27" s="12">
        <f t="shared" si="9"/>
        <v>60360859.68507129</v>
      </c>
      <c r="J27" s="13">
        <f t="shared" si="9"/>
        <v>56428837.161734238</v>
      </c>
      <c r="K27" s="15"/>
      <c r="L27" s="794"/>
      <c r="M27" s="793"/>
      <c r="N27" s="793"/>
      <c r="O27" s="793"/>
    </row>
    <row r="28" spans="1:15" s="1" customFormat="1" ht="13.8" thickTop="1" x14ac:dyDescent="0.25">
      <c r="A28" s="14"/>
      <c r="B28" s="85"/>
      <c r="C28" s="2"/>
      <c r="D28" s="794"/>
      <c r="E28" s="794"/>
      <c r="F28" s="794"/>
      <c r="G28" s="794"/>
      <c r="H28" s="15"/>
      <c r="I28" s="15"/>
      <c r="J28" s="15"/>
      <c r="K28" s="15"/>
      <c r="L28" s="794"/>
      <c r="M28" s="793"/>
      <c r="N28" s="793"/>
      <c r="O28" s="793"/>
    </row>
    <row r="29" spans="1:15" s="1" customFormat="1" x14ac:dyDescent="0.25">
      <c r="A29" s="14"/>
      <c r="B29" s="85"/>
      <c r="C29" s="2"/>
      <c r="D29" s="794"/>
      <c r="E29" s="794"/>
      <c r="F29" s="794"/>
      <c r="G29" s="794"/>
      <c r="H29" s="15"/>
      <c r="I29" s="15"/>
      <c r="J29" s="15"/>
      <c r="K29" s="15"/>
      <c r="L29" s="794"/>
      <c r="M29" s="793"/>
      <c r="N29" s="793"/>
      <c r="O29" s="793"/>
    </row>
    <row r="30" spans="1:15" s="1" customFormat="1" x14ac:dyDescent="0.25">
      <c r="A30" s="14"/>
      <c r="B30" s="85"/>
      <c r="C30" s="2"/>
      <c r="D30" s="794"/>
      <c r="E30" s="794"/>
      <c r="F30" s="794"/>
      <c r="G30" s="794"/>
      <c r="H30" s="4">
        <f t="shared" ref="H30:J30" si="10">H$1</f>
        <v>2013</v>
      </c>
      <c r="I30" s="5">
        <f t="shared" si="10"/>
        <v>2014</v>
      </c>
      <c r="J30" s="6">
        <f t="shared" si="10"/>
        <v>2015</v>
      </c>
      <c r="K30" s="56"/>
      <c r="L30" s="794"/>
      <c r="M30" s="793"/>
      <c r="N30" s="793"/>
      <c r="O30" s="793"/>
    </row>
    <row r="31" spans="1:15" x14ac:dyDescent="0.25">
      <c r="A31" s="43" t="s">
        <v>3</v>
      </c>
      <c r="C31" s="2"/>
      <c r="D31" s="794"/>
      <c r="E31" s="794"/>
      <c r="F31" s="794"/>
      <c r="G31" s="794"/>
      <c r="H31" s="749" t="str">
        <f t="shared" ref="H31:J31" si="11">H$2</f>
        <v>Nominal $</v>
      </c>
      <c r="I31" s="110" t="str">
        <f t="shared" si="11"/>
        <v>Nominal $</v>
      </c>
      <c r="J31" s="750" t="str">
        <f t="shared" si="11"/>
        <v>Real 2014 $</v>
      </c>
      <c r="K31" s="885"/>
      <c r="L31" s="794"/>
      <c r="M31" s="793"/>
      <c r="N31" s="793"/>
      <c r="O31" s="793"/>
    </row>
    <row r="32" spans="1:15" x14ac:dyDescent="0.25">
      <c r="A32" s="22"/>
      <c r="B32" s="55"/>
      <c r="C32" s="20"/>
      <c r="D32" s="806"/>
      <c r="E32" s="806"/>
      <c r="F32" s="806"/>
      <c r="G32" s="806"/>
      <c r="H32" s="52" t="str">
        <f t="shared" ref="H32:J32" si="12">H$3</f>
        <v>Actual</v>
      </c>
      <c r="I32" s="751" t="str">
        <f t="shared" si="12"/>
        <v>Forecast</v>
      </c>
      <c r="J32" s="752" t="str">
        <f t="shared" si="12"/>
        <v>Forecast</v>
      </c>
      <c r="K32" s="885"/>
      <c r="M32" s="793"/>
      <c r="N32" s="793"/>
      <c r="O32" s="793"/>
    </row>
    <row r="33" spans="1:15" x14ac:dyDescent="0.25">
      <c r="A33" s="38" t="s">
        <v>4</v>
      </c>
      <c r="C33" s="20"/>
      <c r="D33" s="806"/>
      <c r="E33" s="806"/>
      <c r="F33" s="806"/>
      <c r="G33" s="806"/>
      <c r="H33" s="35"/>
      <c r="I33" s="36"/>
      <c r="J33" s="37"/>
      <c r="K33" s="36"/>
      <c r="M33" s="793"/>
      <c r="N33" s="793"/>
      <c r="O33" s="793"/>
    </row>
    <row r="34" spans="1:15" x14ac:dyDescent="0.25">
      <c r="A34" s="85" t="s">
        <v>42</v>
      </c>
      <c r="C34" s="20"/>
      <c r="D34" s="806"/>
      <c r="E34" s="806"/>
      <c r="F34" s="806"/>
      <c r="G34" s="806"/>
      <c r="H34" s="24">
        <v>0</v>
      </c>
      <c r="I34" s="25">
        <v>0</v>
      </c>
      <c r="J34" s="26">
        <v>0</v>
      </c>
      <c r="K34" s="36"/>
      <c r="M34" s="793"/>
      <c r="N34" s="793"/>
      <c r="O34" s="793"/>
    </row>
    <row r="35" spans="1:15" x14ac:dyDescent="0.25">
      <c r="A35" s="85" t="s">
        <v>260</v>
      </c>
      <c r="C35" s="20"/>
      <c r="D35" s="806"/>
      <c r="E35" s="806"/>
      <c r="F35" s="806"/>
      <c r="G35" s="806"/>
      <c r="H35" s="24">
        <v>0</v>
      </c>
      <c r="I35" s="25">
        <v>0</v>
      </c>
      <c r="J35" s="26">
        <v>0</v>
      </c>
      <c r="K35" s="36"/>
      <c r="M35" s="793"/>
      <c r="N35" s="793"/>
      <c r="O35" s="793"/>
    </row>
    <row r="36" spans="1:15" x14ac:dyDescent="0.25">
      <c r="A36" s="85" t="s">
        <v>367</v>
      </c>
      <c r="C36" s="20"/>
      <c r="D36" s="806"/>
      <c r="E36" s="806"/>
      <c r="F36" s="806"/>
      <c r="G36" s="806"/>
      <c r="H36" s="24">
        <v>0</v>
      </c>
      <c r="I36" s="25">
        <v>0</v>
      </c>
      <c r="J36" s="26">
        <v>0</v>
      </c>
      <c r="K36" s="36"/>
      <c r="M36" s="793"/>
      <c r="N36" s="793"/>
      <c r="O36" s="793"/>
    </row>
    <row r="37" spans="1:15" x14ac:dyDescent="0.25">
      <c r="A37" s="85" t="s">
        <v>277</v>
      </c>
      <c r="C37" s="20"/>
      <c r="D37" s="806"/>
      <c r="E37" s="806"/>
      <c r="F37" s="806"/>
      <c r="G37" s="806"/>
      <c r="H37" s="24">
        <v>0</v>
      </c>
      <c r="I37" s="25">
        <v>0</v>
      </c>
      <c r="J37" s="26">
        <v>0</v>
      </c>
      <c r="K37" s="36"/>
      <c r="M37" s="793"/>
      <c r="N37" s="793"/>
      <c r="O37" s="793"/>
    </row>
    <row r="38" spans="1:15" x14ac:dyDescent="0.25">
      <c r="A38" s="85" t="s">
        <v>279</v>
      </c>
      <c r="B38" s="453"/>
      <c r="C38" s="20"/>
      <c r="D38" s="806"/>
      <c r="E38" s="806"/>
      <c r="F38" s="806"/>
      <c r="G38" s="806"/>
      <c r="H38" s="24">
        <v>0</v>
      </c>
      <c r="I38" s="25">
        <v>0</v>
      </c>
      <c r="J38" s="26">
        <v>0</v>
      </c>
      <c r="K38" s="36"/>
      <c r="M38" s="793"/>
      <c r="N38" s="793"/>
      <c r="O38" s="793"/>
    </row>
    <row r="39" spans="1:15" x14ac:dyDescent="0.25">
      <c r="A39" s="85" t="s">
        <v>278</v>
      </c>
      <c r="B39" s="454"/>
      <c r="C39" s="20"/>
      <c r="D39" s="806"/>
      <c r="E39" s="806"/>
      <c r="F39" s="806"/>
      <c r="G39" s="806"/>
      <c r="H39" s="24">
        <v>0</v>
      </c>
      <c r="I39" s="25">
        <v>0</v>
      </c>
      <c r="J39" s="26">
        <v>0</v>
      </c>
      <c r="K39" s="36"/>
      <c r="M39" s="793"/>
      <c r="N39" s="793"/>
      <c r="O39" s="793"/>
    </row>
    <row r="40" spans="1:15" ht="13.8" thickBot="1" x14ac:dyDescent="0.3">
      <c r="A40" s="22"/>
      <c r="C40" s="20"/>
      <c r="D40" s="806"/>
      <c r="E40" s="806"/>
      <c r="F40" s="806"/>
      <c r="G40" s="806"/>
      <c r="H40" s="327">
        <f t="shared" ref="H40:J40" si="13">SUM(H34:H39)</f>
        <v>0</v>
      </c>
      <c r="I40" s="92">
        <f t="shared" si="13"/>
        <v>0</v>
      </c>
      <c r="J40" s="328">
        <f t="shared" si="13"/>
        <v>0</v>
      </c>
      <c r="K40" s="36"/>
      <c r="M40" s="793"/>
      <c r="N40" s="793"/>
      <c r="O40" s="793"/>
    </row>
    <row r="41" spans="1:15" ht="13.8" thickTop="1" x14ac:dyDescent="0.25">
      <c r="A41" s="22"/>
      <c r="C41" s="20"/>
      <c r="D41" s="806"/>
      <c r="E41" s="806"/>
      <c r="F41" s="806"/>
      <c r="G41" s="806"/>
      <c r="H41" s="329"/>
      <c r="I41" s="94"/>
      <c r="J41" s="330"/>
      <c r="K41" s="36"/>
      <c r="M41" s="793"/>
      <c r="N41" s="793"/>
      <c r="O41" s="793"/>
    </row>
    <row r="42" spans="1:15" x14ac:dyDescent="0.25">
      <c r="A42" s="38" t="s">
        <v>5</v>
      </c>
      <c r="C42" s="20"/>
      <c r="D42" s="806"/>
      <c r="E42" s="806"/>
      <c r="F42" s="806"/>
      <c r="G42" s="806"/>
      <c r="H42" s="23"/>
      <c r="I42" s="20"/>
      <c r="J42" s="729"/>
      <c r="K42" s="794"/>
      <c r="M42" s="794"/>
      <c r="N42" s="794"/>
      <c r="O42" s="794"/>
    </row>
    <row r="43" spans="1:15" x14ac:dyDescent="0.25">
      <c r="A43" s="85" t="s">
        <v>42</v>
      </c>
      <c r="C43" s="20"/>
      <c r="D43" s="806"/>
      <c r="E43" s="806"/>
      <c r="F43" s="806"/>
      <c r="G43" s="806"/>
      <c r="H43" s="24">
        <v>0</v>
      </c>
      <c r="I43" s="25">
        <v>0</v>
      </c>
      <c r="J43" s="26">
        <v>0</v>
      </c>
      <c r="K43" s="36"/>
      <c r="M43" s="794"/>
      <c r="N43" s="794"/>
      <c r="O43" s="794"/>
    </row>
    <row r="44" spans="1:15" x14ac:dyDescent="0.25">
      <c r="A44" s="85" t="s">
        <v>260</v>
      </c>
      <c r="B44" s="454"/>
      <c r="C44" s="20"/>
      <c r="D44" s="806"/>
      <c r="E44" s="806"/>
      <c r="F44" s="806"/>
      <c r="G44" s="806"/>
      <c r="H44" s="24">
        <v>0</v>
      </c>
      <c r="I44" s="25">
        <v>0</v>
      </c>
      <c r="J44" s="26">
        <v>0</v>
      </c>
      <c r="K44" s="36"/>
      <c r="M44" s="794"/>
      <c r="N44" s="794"/>
      <c r="O44" s="794"/>
    </row>
    <row r="45" spans="1:15" x14ac:dyDescent="0.25">
      <c r="A45" s="85" t="s">
        <v>367</v>
      </c>
      <c r="C45" s="20"/>
      <c r="D45" s="806"/>
      <c r="E45" s="806"/>
      <c r="F45" s="806"/>
      <c r="G45" s="806"/>
      <c r="H45" s="24">
        <v>0</v>
      </c>
      <c r="I45" s="25">
        <v>0</v>
      </c>
      <c r="J45" s="26">
        <v>0</v>
      </c>
      <c r="K45" s="36"/>
      <c r="M45" s="794"/>
      <c r="N45" s="794"/>
      <c r="O45" s="794"/>
    </row>
    <row r="46" spans="1:15" x14ac:dyDescent="0.25">
      <c r="A46" s="85" t="s">
        <v>277</v>
      </c>
      <c r="C46" s="20"/>
      <c r="D46" s="806"/>
      <c r="E46" s="806"/>
      <c r="F46" s="806"/>
      <c r="G46" s="806"/>
      <c r="H46" s="24">
        <v>0</v>
      </c>
      <c r="I46" s="25">
        <v>0</v>
      </c>
      <c r="J46" s="26">
        <v>0</v>
      </c>
      <c r="K46" s="36"/>
      <c r="M46" s="794"/>
      <c r="N46" s="794"/>
      <c r="O46" s="794"/>
    </row>
    <row r="47" spans="1:15" x14ac:dyDescent="0.25">
      <c r="A47" s="85" t="s">
        <v>279</v>
      </c>
      <c r="B47" s="91"/>
      <c r="C47" s="20"/>
      <c r="D47" s="806"/>
      <c r="E47" s="806"/>
      <c r="F47" s="806"/>
      <c r="G47" s="806"/>
      <c r="H47" s="24">
        <v>0</v>
      </c>
      <c r="I47" s="25">
        <v>0</v>
      </c>
      <c r="J47" s="26">
        <v>0</v>
      </c>
      <c r="K47" s="36"/>
      <c r="M47" s="794"/>
      <c r="N47" s="794"/>
      <c r="O47" s="794"/>
    </row>
    <row r="48" spans="1:15" x14ac:dyDescent="0.25">
      <c r="A48" s="85" t="s">
        <v>278</v>
      </c>
      <c r="C48" s="20"/>
      <c r="D48" s="806"/>
      <c r="E48" s="806"/>
      <c r="F48" s="806"/>
      <c r="G48" s="806"/>
      <c r="H48" s="27">
        <v>0</v>
      </c>
      <c r="I48" s="28">
        <v>0</v>
      </c>
      <c r="J48" s="29">
        <v>0</v>
      </c>
      <c r="K48" s="36"/>
      <c r="M48" s="794"/>
      <c r="N48" s="794"/>
      <c r="O48" s="794"/>
    </row>
    <row r="49" spans="1:15" s="1" customFormat="1" ht="13.8" thickBot="1" x14ac:dyDescent="0.3">
      <c r="A49" s="14"/>
      <c r="B49" s="91"/>
      <c r="C49" s="2"/>
      <c r="D49" s="794"/>
      <c r="E49" s="794"/>
      <c r="F49" s="794"/>
      <c r="G49" s="794"/>
      <c r="H49" s="327">
        <f t="shared" ref="H49:J49" si="14">SUM(H43:H48)</f>
        <v>0</v>
      </c>
      <c r="I49" s="92">
        <f t="shared" si="14"/>
        <v>0</v>
      </c>
      <c r="J49" s="328">
        <f t="shared" si="14"/>
        <v>0</v>
      </c>
      <c r="K49" s="15"/>
      <c r="L49" s="794"/>
      <c r="M49" s="793"/>
      <c r="N49" s="793"/>
      <c r="O49" s="793"/>
    </row>
    <row r="50" spans="1:15" s="1" customFormat="1" ht="13.8" thickTop="1" x14ac:dyDescent="0.25">
      <c r="A50" s="14"/>
      <c r="B50" s="91"/>
      <c r="C50" s="2"/>
      <c r="D50" s="794"/>
      <c r="E50" s="794"/>
      <c r="F50" s="794"/>
      <c r="G50" s="794"/>
      <c r="H50" s="15"/>
      <c r="I50" s="15"/>
      <c r="J50" s="15"/>
      <c r="K50" s="15"/>
      <c r="L50" s="794"/>
      <c r="M50" s="793"/>
      <c r="N50" s="793"/>
      <c r="O50" s="793"/>
    </row>
    <row r="51" spans="1:15" s="1" customFormat="1" x14ac:dyDescent="0.25">
      <c r="A51" s="14"/>
      <c r="B51" s="85"/>
      <c r="C51" s="2"/>
      <c r="D51" s="794"/>
      <c r="E51" s="794"/>
      <c r="F51" s="794"/>
      <c r="G51" s="794"/>
      <c r="H51" s="15"/>
      <c r="I51" s="15"/>
      <c r="J51" s="15"/>
      <c r="K51" s="15"/>
      <c r="L51" s="794"/>
      <c r="M51" s="793"/>
      <c r="N51" s="793"/>
      <c r="O51" s="793"/>
    </row>
    <row r="52" spans="1:15" s="1" customFormat="1" x14ac:dyDescent="0.25">
      <c r="A52" s="3"/>
      <c r="B52" s="85"/>
      <c r="C52" s="2"/>
      <c r="D52" s="794"/>
      <c r="E52" s="794"/>
      <c r="F52" s="794"/>
      <c r="G52" s="794"/>
      <c r="H52" s="4">
        <f t="shared" ref="H52:J52" si="15">H$1</f>
        <v>2013</v>
      </c>
      <c r="I52" s="5">
        <f t="shared" si="15"/>
        <v>2014</v>
      </c>
      <c r="J52" s="6">
        <f t="shared" si="15"/>
        <v>2015</v>
      </c>
      <c r="K52" s="56"/>
      <c r="L52" s="794"/>
      <c r="M52" s="793"/>
      <c r="N52" s="793"/>
      <c r="O52" s="793"/>
    </row>
    <row r="53" spans="1:15" s="1" customFormat="1" x14ac:dyDescent="0.25">
      <c r="A53" s="43" t="s">
        <v>1</v>
      </c>
      <c r="B53" s="455"/>
      <c r="C53" s="2"/>
      <c r="D53" s="794"/>
      <c r="E53" s="794"/>
      <c r="F53" s="794"/>
      <c r="G53" s="794"/>
      <c r="H53" s="749" t="str">
        <f t="shared" ref="H53:J53" si="16">H$2</f>
        <v>Nominal $</v>
      </c>
      <c r="I53" s="110" t="str">
        <f t="shared" si="16"/>
        <v>Nominal $</v>
      </c>
      <c r="J53" s="750" t="str">
        <f t="shared" si="16"/>
        <v>Real 2014 $</v>
      </c>
      <c r="K53" s="885"/>
      <c r="L53" s="794"/>
      <c r="M53" s="793"/>
      <c r="N53" s="793"/>
      <c r="O53" s="793"/>
    </row>
    <row r="54" spans="1:15" s="1" customFormat="1" x14ac:dyDescent="0.25">
      <c r="A54" s="3"/>
      <c r="B54" s="91"/>
      <c r="C54" s="2"/>
      <c r="D54" s="794"/>
      <c r="E54" s="794"/>
      <c r="F54" s="794"/>
      <c r="G54" s="794"/>
      <c r="H54" s="749" t="str">
        <f t="shared" ref="H54:J54" si="17">H$3</f>
        <v>Actual</v>
      </c>
      <c r="I54" s="110" t="str">
        <f t="shared" si="17"/>
        <v>Forecast</v>
      </c>
      <c r="J54" s="750" t="str">
        <f t="shared" si="17"/>
        <v>Forecast</v>
      </c>
      <c r="K54" s="885"/>
      <c r="L54" s="794"/>
      <c r="M54" s="793"/>
      <c r="N54" s="793"/>
      <c r="O54" s="793"/>
    </row>
    <row r="55" spans="1:15" s="1" customFormat="1" ht="13.8" thickBot="1" x14ac:dyDescent="0.3">
      <c r="A55" s="3" t="s">
        <v>396</v>
      </c>
      <c r="B55" s="85"/>
      <c r="C55" s="2"/>
      <c r="D55" s="794"/>
      <c r="E55" s="794"/>
      <c r="F55" s="794"/>
      <c r="G55" s="794"/>
      <c r="H55" s="16">
        <v>32545055</v>
      </c>
      <c r="I55" s="17">
        <v>39999999.999999993</v>
      </c>
      <c r="J55" s="18">
        <v>39035815.360593356</v>
      </c>
      <c r="K55" s="119"/>
      <c r="L55" s="794"/>
      <c r="M55" s="793"/>
      <c r="N55" s="793"/>
      <c r="O55" s="793"/>
    </row>
    <row r="56" spans="1:15" s="1" customFormat="1" ht="13.8" thickTop="1" x14ac:dyDescent="0.25">
      <c r="A56" s="3"/>
      <c r="B56" s="453"/>
      <c r="C56" s="794"/>
      <c r="D56" s="794"/>
      <c r="E56" s="794"/>
      <c r="F56" s="788"/>
      <c r="G56" s="788"/>
      <c r="H56" s="788"/>
      <c r="I56" s="788"/>
      <c r="J56" s="788"/>
      <c r="K56" s="788"/>
      <c r="L56" s="794"/>
      <c r="M56" s="793"/>
      <c r="N56" s="793"/>
      <c r="O56" s="793"/>
    </row>
    <row r="57" spans="1:15" s="1" customFormat="1" x14ac:dyDescent="0.25">
      <c r="A57" s="786"/>
      <c r="B57" s="449"/>
      <c r="C57" s="794"/>
      <c r="D57" s="794"/>
      <c r="E57" s="794"/>
      <c r="F57" s="788"/>
      <c r="G57" s="788"/>
      <c r="H57" s="788"/>
      <c r="I57" s="796"/>
      <c r="J57" s="796"/>
      <c r="K57" s="788"/>
      <c r="L57" s="794"/>
      <c r="M57" s="793"/>
      <c r="N57" s="793"/>
      <c r="O57" s="793"/>
    </row>
    <row r="58" spans="1:15" s="1" customFormat="1" x14ac:dyDescent="0.25">
      <c r="A58" s="60" t="s">
        <v>63</v>
      </c>
      <c r="B58" s="450"/>
      <c r="D58" s="786"/>
      <c r="E58" s="786"/>
      <c r="F58" s="788"/>
      <c r="G58" s="788"/>
      <c r="H58" s="4">
        <f t="shared" ref="H58:J58" si="18">H$1</f>
        <v>2013</v>
      </c>
      <c r="I58" s="5">
        <f t="shared" si="18"/>
        <v>2014</v>
      </c>
      <c r="J58" s="6">
        <f t="shared" si="18"/>
        <v>2015</v>
      </c>
      <c r="K58" s="788"/>
      <c r="L58" s="788"/>
      <c r="M58" s="793"/>
      <c r="N58" s="793"/>
      <c r="O58" s="793"/>
    </row>
    <row r="59" spans="1:15" s="1" customFormat="1" x14ac:dyDescent="0.25">
      <c r="B59" s="88"/>
      <c r="D59" s="786"/>
      <c r="E59" s="786"/>
      <c r="F59" s="788"/>
      <c r="G59" s="788"/>
      <c r="H59" s="582" t="str">
        <f>H$2</f>
        <v>Nominal $</v>
      </c>
      <c r="K59" s="788"/>
      <c r="L59" s="794"/>
      <c r="M59" s="793"/>
      <c r="N59" s="793"/>
      <c r="O59" s="793"/>
    </row>
    <row r="60" spans="1:15" s="1" customFormat="1" ht="13.8" thickBot="1" x14ac:dyDescent="0.3">
      <c r="A60" s="78" t="s">
        <v>63</v>
      </c>
      <c r="B60" s="449"/>
      <c r="D60" s="786"/>
      <c r="E60" s="786"/>
      <c r="F60" s="788"/>
      <c r="G60" s="788"/>
      <c r="H60" s="583">
        <v>101332753</v>
      </c>
      <c r="K60" s="788"/>
      <c r="L60" s="786"/>
      <c r="M60" s="793"/>
      <c r="N60" s="793"/>
      <c r="O60" s="793"/>
    </row>
    <row r="61" spans="1:15" s="1" customFormat="1" ht="13.8" thickTop="1" x14ac:dyDescent="0.25">
      <c r="A61" s="30"/>
      <c r="B61" s="450"/>
      <c r="D61" s="786"/>
      <c r="E61" s="786"/>
      <c r="F61" s="788"/>
      <c r="G61" s="788"/>
      <c r="K61" s="788"/>
      <c r="L61" s="786"/>
      <c r="M61" s="793"/>
      <c r="N61" s="793"/>
      <c r="O61" s="793"/>
    </row>
    <row r="62" spans="1:15" s="1" customFormat="1" x14ac:dyDescent="0.25">
      <c r="A62" s="30"/>
      <c r="B62" s="450"/>
      <c r="D62" s="786"/>
      <c r="E62" s="786"/>
      <c r="F62" s="788"/>
      <c r="G62" s="788"/>
      <c r="K62" s="788"/>
      <c r="L62" s="786"/>
      <c r="M62" s="793"/>
      <c r="N62" s="793"/>
      <c r="O62" s="793"/>
    </row>
    <row r="63" spans="1:15" s="1" customFormat="1" x14ac:dyDescent="0.25">
      <c r="A63" s="30"/>
      <c r="B63" s="88"/>
      <c r="C63" s="2"/>
      <c r="D63" s="794"/>
      <c r="E63" s="794"/>
      <c r="F63" s="788"/>
      <c r="G63" s="788"/>
      <c r="K63" s="788"/>
      <c r="L63" s="786"/>
      <c r="M63" s="793"/>
      <c r="N63" s="793"/>
      <c r="O63" s="793"/>
    </row>
    <row r="64" spans="1:15" s="1" customFormat="1" x14ac:dyDescent="0.25">
      <c r="A64" s="30"/>
      <c r="B64" s="88"/>
      <c r="C64" s="2"/>
      <c r="D64" s="793"/>
      <c r="E64" s="793"/>
      <c r="F64" s="788"/>
      <c r="G64" s="788"/>
      <c r="H64" s="19"/>
      <c r="I64" s="19"/>
      <c r="J64" s="19"/>
      <c r="K64" s="788"/>
      <c r="L64" s="794"/>
      <c r="M64" s="793"/>
      <c r="N64" s="793"/>
      <c r="O64" s="793"/>
    </row>
    <row r="65" spans="1:17" x14ac:dyDescent="0.25">
      <c r="A65" s="60" t="s">
        <v>286</v>
      </c>
      <c r="B65" s="88"/>
      <c r="I65" s="959" t="s">
        <v>384</v>
      </c>
      <c r="J65" s="960"/>
      <c r="K65" s="32"/>
      <c r="L65" s="794"/>
      <c r="N65" s="794"/>
      <c r="O65" s="794"/>
      <c r="P65" s="959" t="s">
        <v>23</v>
      </c>
      <c r="Q65" s="961"/>
    </row>
    <row r="66" spans="1:17" x14ac:dyDescent="0.25">
      <c r="L66" s="794"/>
      <c r="N66" s="794"/>
      <c r="O66" s="794"/>
    </row>
    <row r="67" spans="1:17" x14ac:dyDescent="0.25">
      <c r="F67" s="794"/>
      <c r="G67" s="794"/>
      <c r="H67" s="794"/>
      <c r="I67" s="755">
        <f>I$1</f>
        <v>2014</v>
      </c>
      <c r="J67" s="755">
        <f>J$1</f>
        <v>2015</v>
      </c>
      <c r="K67" s="56"/>
      <c r="L67" s="794"/>
      <c r="M67" s="793"/>
      <c r="N67" s="794"/>
      <c r="O67" s="794"/>
      <c r="P67" s="4">
        <f>P$1</f>
        <v>2014</v>
      </c>
      <c r="Q67" s="6">
        <f>Q$1</f>
        <v>2015</v>
      </c>
    </row>
    <row r="68" spans="1:17" x14ac:dyDescent="0.25">
      <c r="A68" s="59"/>
      <c r="F68" s="794"/>
      <c r="G68" s="794"/>
      <c r="H68" s="794"/>
      <c r="I68" s="811" t="s">
        <v>20</v>
      </c>
      <c r="J68" s="891" t="s">
        <v>21</v>
      </c>
      <c r="K68" s="885"/>
      <c r="L68" s="794"/>
      <c r="M68" s="793"/>
      <c r="N68" s="794"/>
      <c r="O68" s="794"/>
      <c r="P68" s="756" t="str">
        <f>P3</f>
        <v>Forecast</v>
      </c>
      <c r="Q68" s="735" t="str">
        <f>Q3</f>
        <v>Forecast</v>
      </c>
    </row>
    <row r="69" spans="1:17" x14ac:dyDescent="0.25">
      <c r="B69" s="1"/>
      <c r="F69" s="794"/>
      <c r="G69" s="794"/>
      <c r="H69" s="794"/>
      <c r="I69" s="892" t="s">
        <v>22</v>
      </c>
      <c r="J69" s="892" t="s">
        <v>22</v>
      </c>
      <c r="K69" s="885"/>
      <c r="L69" s="794"/>
      <c r="M69" s="793"/>
      <c r="N69" s="794"/>
      <c r="O69" s="794"/>
      <c r="P69" s="718"/>
      <c r="Q69" s="739"/>
    </row>
    <row r="70" spans="1:17" x14ac:dyDescent="0.25">
      <c r="B70" s="91"/>
      <c r="F70" s="794"/>
      <c r="G70" s="794"/>
      <c r="H70" s="794"/>
      <c r="I70" s="39"/>
      <c r="J70" s="40"/>
      <c r="K70" s="794"/>
      <c r="L70" s="794"/>
      <c r="M70" s="793"/>
      <c r="N70" s="794"/>
      <c r="O70" s="794"/>
      <c r="P70" s="39"/>
      <c r="Q70" s="729"/>
    </row>
    <row r="71" spans="1:17" x14ac:dyDescent="0.25">
      <c r="A71" s="90" t="s">
        <v>24</v>
      </c>
      <c r="B71" s="91"/>
      <c r="F71" s="794"/>
      <c r="G71" s="794"/>
      <c r="H71" s="794"/>
      <c r="I71" s="340" t="s">
        <v>25</v>
      </c>
      <c r="J71" s="123"/>
      <c r="K71" s="120"/>
      <c r="L71" s="794"/>
      <c r="M71" s="793"/>
      <c r="N71" s="794"/>
      <c r="O71" s="794"/>
      <c r="P71" s="23"/>
      <c r="Q71" s="729"/>
    </row>
    <row r="72" spans="1:17" x14ac:dyDescent="0.25">
      <c r="A72" s="84" t="s">
        <v>26</v>
      </c>
      <c r="B72" s="55"/>
      <c r="F72" s="794"/>
      <c r="G72" s="794"/>
      <c r="H72" s="794"/>
      <c r="I72" s="746">
        <f>'Data 2009-15 (Real $2008)'!I72</f>
        <v>0</v>
      </c>
      <c r="J72" s="333"/>
      <c r="K72" s="121"/>
      <c r="L72" s="794"/>
      <c r="M72" s="793"/>
      <c r="N72" s="794"/>
      <c r="O72" s="794"/>
      <c r="P72" s="79"/>
      <c r="Q72" s="75"/>
    </row>
    <row r="73" spans="1:17" x14ac:dyDescent="0.25">
      <c r="A73" s="84" t="s">
        <v>27</v>
      </c>
      <c r="B73" s="451"/>
      <c r="F73" s="794"/>
      <c r="G73" s="794"/>
      <c r="H73" s="794"/>
      <c r="I73" s="746">
        <f>'Data 2009-15 (Real $2008)'!I73</f>
        <v>0</v>
      </c>
      <c r="J73" s="333"/>
      <c r="K73" s="121"/>
      <c r="L73" s="794"/>
      <c r="M73" s="793"/>
      <c r="N73" s="794"/>
      <c r="O73" s="794"/>
      <c r="P73" s="79"/>
      <c r="Q73" s="75"/>
    </row>
    <row r="74" spans="1:17" x14ac:dyDescent="0.25">
      <c r="A74" s="565" t="s">
        <v>370</v>
      </c>
      <c r="B74" s="2"/>
      <c r="F74" s="794"/>
      <c r="G74" s="794"/>
      <c r="H74" s="794"/>
      <c r="I74" s="746">
        <f>'Data 2009-15 (Real $2008)'!I74</f>
        <v>0</v>
      </c>
      <c r="J74" s="333"/>
      <c r="K74" s="121"/>
      <c r="L74" s="794"/>
      <c r="M74" s="793"/>
      <c r="N74" s="794"/>
      <c r="O74" s="794"/>
      <c r="P74" s="79"/>
      <c r="Q74" s="75"/>
    </row>
    <row r="75" spans="1:17" x14ac:dyDescent="0.25">
      <c r="A75" s="565" t="s">
        <v>371</v>
      </c>
      <c r="F75" s="794"/>
      <c r="G75" s="794"/>
      <c r="H75" s="794"/>
      <c r="I75" s="746">
        <f>'Data 2009-15 (Real $2008)'!I75</f>
        <v>0</v>
      </c>
      <c r="J75" s="333"/>
      <c r="K75" s="121"/>
      <c r="L75" s="794"/>
      <c r="M75" s="793"/>
      <c r="N75" s="794"/>
      <c r="O75" s="794"/>
      <c r="P75" s="79"/>
      <c r="Q75" s="75"/>
    </row>
    <row r="76" spans="1:17" x14ac:dyDescent="0.25">
      <c r="A76" s="565" t="s">
        <v>372</v>
      </c>
      <c r="F76" s="794"/>
      <c r="G76" s="794"/>
      <c r="H76" s="794"/>
      <c r="I76" s="746">
        <f>'Data 2009-15 (Real $2008)'!I76</f>
        <v>0</v>
      </c>
      <c r="J76" s="333"/>
      <c r="K76" s="121"/>
      <c r="L76" s="794"/>
      <c r="M76" s="793"/>
      <c r="N76" s="794"/>
      <c r="O76" s="794"/>
      <c r="P76" s="79"/>
      <c r="Q76" s="75"/>
    </row>
    <row r="77" spans="1:17" x14ac:dyDescent="0.25">
      <c r="A77" s="565" t="s">
        <v>373</v>
      </c>
      <c r="B77" s="2"/>
      <c r="F77" s="794"/>
      <c r="G77" s="794"/>
      <c r="H77" s="794"/>
      <c r="I77" s="746">
        <f>'Data 2009-15 (Real $2008)'!I77</f>
        <v>0</v>
      </c>
      <c r="J77" s="333"/>
      <c r="K77" s="121"/>
      <c r="L77" s="794"/>
      <c r="M77" s="793"/>
      <c r="N77" s="794"/>
      <c r="O77" s="794"/>
      <c r="P77" s="79"/>
      <c r="Q77" s="75"/>
    </row>
    <row r="78" spans="1:17" x14ac:dyDescent="0.25">
      <c r="A78" s="565" t="s">
        <v>374</v>
      </c>
      <c r="B78" s="88"/>
      <c r="F78" s="794"/>
      <c r="G78" s="794"/>
      <c r="H78" s="794"/>
      <c r="I78" s="746">
        <f>'Data 2009-15 (Real $2008)'!I78</f>
        <v>0</v>
      </c>
      <c r="J78" s="333"/>
      <c r="K78" s="121"/>
      <c r="L78" s="794"/>
      <c r="M78" s="793"/>
      <c r="N78" s="794"/>
      <c r="O78" s="794"/>
      <c r="P78" s="79"/>
      <c r="Q78" s="75"/>
    </row>
    <row r="79" spans="1:17" x14ac:dyDescent="0.25">
      <c r="A79" s="84"/>
      <c r="F79" s="794"/>
      <c r="G79" s="794"/>
      <c r="H79" s="794"/>
      <c r="I79" s="341"/>
      <c r="J79" s="335"/>
      <c r="K79" s="794"/>
      <c r="L79" s="794"/>
      <c r="M79" s="793"/>
      <c r="N79" s="794"/>
      <c r="O79" s="794"/>
      <c r="P79" s="23"/>
      <c r="Q79" s="729"/>
    </row>
    <row r="80" spans="1:17" x14ac:dyDescent="0.25">
      <c r="A80" s="84"/>
      <c r="F80" s="794"/>
      <c r="G80" s="794"/>
      <c r="H80" s="794"/>
      <c r="I80" s="341"/>
      <c r="J80" s="335"/>
      <c r="K80" s="794"/>
      <c r="L80" s="794"/>
      <c r="M80" s="793"/>
      <c r="N80" s="794"/>
      <c r="O80" s="794"/>
      <c r="P80" s="23"/>
      <c r="Q80" s="729"/>
    </row>
    <row r="81" spans="1:17" x14ac:dyDescent="0.25">
      <c r="A81" s="90" t="s">
        <v>24</v>
      </c>
      <c r="B81" s="320"/>
      <c r="F81" s="794"/>
      <c r="G81" s="794"/>
      <c r="H81" s="794"/>
      <c r="I81" s="521" t="s">
        <v>28</v>
      </c>
      <c r="J81" s="336"/>
      <c r="K81" s="120"/>
      <c r="L81" s="794"/>
      <c r="M81" s="793"/>
      <c r="N81" s="794"/>
      <c r="O81" s="794"/>
      <c r="P81" s="23"/>
      <c r="Q81" s="729"/>
    </row>
    <row r="82" spans="1:17" x14ac:dyDescent="0.25">
      <c r="A82" s="84" t="s">
        <v>26</v>
      </c>
      <c r="B82" s="320"/>
      <c r="F82" s="794"/>
      <c r="G82" s="794"/>
      <c r="H82" s="794"/>
      <c r="I82" s="746">
        <f>'Data 2009-15 (Real $2008)'!I82</f>
        <v>0</v>
      </c>
      <c r="J82" s="333"/>
      <c r="K82" s="121"/>
      <c r="L82" s="794"/>
      <c r="M82" s="793"/>
      <c r="N82" s="794"/>
      <c r="O82" s="794"/>
      <c r="P82" s="79"/>
      <c r="Q82" s="75"/>
    </row>
    <row r="83" spans="1:17" x14ac:dyDescent="0.25">
      <c r="A83" s="84" t="s">
        <v>27</v>
      </c>
      <c r="B83" s="433"/>
      <c r="F83" s="794"/>
      <c r="G83" s="794"/>
      <c r="H83" s="794"/>
      <c r="I83" s="746">
        <f>'Data 2009-15 (Real $2008)'!I83</f>
        <v>0</v>
      </c>
      <c r="J83" s="333"/>
      <c r="K83" s="121"/>
      <c r="L83" s="794"/>
      <c r="M83" s="793"/>
      <c r="N83" s="794"/>
      <c r="O83" s="794"/>
      <c r="P83" s="79"/>
      <c r="Q83" s="75"/>
    </row>
    <row r="84" spans="1:17" x14ac:dyDescent="0.25">
      <c r="A84" s="565" t="s">
        <v>370</v>
      </c>
      <c r="F84" s="794"/>
      <c r="G84" s="794"/>
      <c r="H84" s="794"/>
      <c r="I84" s="746">
        <f>'Data 2009-15 (Real $2008)'!I84</f>
        <v>0</v>
      </c>
      <c r="J84" s="333"/>
      <c r="K84" s="121"/>
      <c r="L84" s="794"/>
      <c r="M84" s="793"/>
      <c r="N84" s="794"/>
      <c r="O84" s="794"/>
      <c r="P84" s="79"/>
      <c r="Q84" s="75"/>
    </row>
    <row r="85" spans="1:17" x14ac:dyDescent="0.25">
      <c r="A85" s="565" t="s">
        <v>371</v>
      </c>
      <c r="F85" s="794"/>
      <c r="G85" s="794"/>
      <c r="H85" s="794"/>
      <c r="I85" s="746">
        <f>'Data 2009-15 (Real $2008)'!I85</f>
        <v>0</v>
      </c>
      <c r="J85" s="333"/>
      <c r="K85" s="121"/>
      <c r="L85" s="794"/>
      <c r="M85" s="793"/>
      <c r="N85" s="794"/>
      <c r="O85" s="794"/>
      <c r="P85" s="79"/>
      <c r="Q85" s="75"/>
    </row>
    <row r="86" spans="1:17" x14ac:dyDescent="0.25">
      <c r="A86" s="565" t="s">
        <v>372</v>
      </c>
      <c r="F86" s="794"/>
      <c r="G86" s="794"/>
      <c r="H86" s="794"/>
      <c r="I86" s="746">
        <f>'Data 2009-15 (Real $2008)'!I86</f>
        <v>0</v>
      </c>
      <c r="J86" s="333"/>
      <c r="K86" s="121"/>
      <c r="L86" s="794"/>
      <c r="M86" s="793"/>
      <c r="N86" s="794"/>
      <c r="O86" s="794"/>
      <c r="P86" s="79"/>
      <c r="Q86" s="75"/>
    </row>
    <row r="87" spans="1:17" x14ac:dyDescent="0.25">
      <c r="A87" s="565" t="s">
        <v>373</v>
      </c>
      <c r="F87" s="794"/>
      <c r="G87" s="794"/>
      <c r="H87" s="794"/>
      <c r="I87" s="746">
        <f>'Data 2009-15 (Real $2008)'!I87</f>
        <v>0</v>
      </c>
      <c r="J87" s="333"/>
      <c r="K87" s="121"/>
      <c r="L87" s="794"/>
      <c r="M87" s="793"/>
      <c r="N87" s="794"/>
      <c r="O87" s="794"/>
      <c r="P87" s="79"/>
      <c r="Q87" s="75"/>
    </row>
    <row r="88" spans="1:17" x14ac:dyDescent="0.25">
      <c r="A88" s="565" t="s">
        <v>374</v>
      </c>
      <c r="B88" s="108"/>
      <c r="F88" s="794"/>
      <c r="G88" s="794"/>
      <c r="H88" s="794"/>
      <c r="I88" s="746">
        <f>'Data 2009-15 (Real $2008)'!I88</f>
        <v>0</v>
      </c>
      <c r="J88" s="333"/>
      <c r="K88" s="121"/>
      <c r="L88" s="794"/>
      <c r="M88" s="793"/>
      <c r="N88" s="794"/>
      <c r="O88" s="794"/>
      <c r="P88" s="79"/>
      <c r="Q88" s="75"/>
    </row>
    <row r="89" spans="1:17" x14ac:dyDescent="0.25">
      <c r="A89" s="84"/>
      <c r="B89" s="88"/>
      <c r="F89" s="794"/>
      <c r="G89" s="794"/>
      <c r="H89" s="794"/>
      <c r="I89" s="341"/>
      <c r="J89" s="335"/>
      <c r="K89" s="794"/>
      <c r="L89" s="794"/>
      <c r="M89" s="793"/>
      <c r="N89" s="794"/>
      <c r="O89" s="794"/>
      <c r="P89" s="23"/>
      <c r="Q89" s="729"/>
    </row>
    <row r="90" spans="1:17" x14ac:dyDescent="0.25">
      <c r="A90" s="84"/>
      <c r="B90" s="93"/>
      <c r="F90" s="794"/>
      <c r="G90" s="794"/>
      <c r="H90" s="794"/>
      <c r="I90" s="341"/>
      <c r="J90" s="335"/>
      <c r="K90" s="794"/>
      <c r="L90" s="794"/>
      <c r="M90" s="793"/>
      <c r="N90" s="794"/>
      <c r="O90" s="794"/>
      <c r="P90" s="23"/>
      <c r="Q90" s="729"/>
    </row>
    <row r="91" spans="1:17" x14ac:dyDescent="0.25">
      <c r="A91" s="90" t="s">
        <v>29</v>
      </c>
      <c r="B91" s="93"/>
      <c r="F91" s="794"/>
      <c r="G91" s="794"/>
      <c r="H91" s="794"/>
      <c r="I91" s="340" t="s">
        <v>25</v>
      </c>
      <c r="J91" s="336"/>
      <c r="K91" s="120"/>
      <c r="L91" s="794"/>
      <c r="M91" s="793"/>
      <c r="N91" s="794"/>
      <c r="O91" s="794"/>
      <c r="P91" s="23"/>
      <c r="Q91" s="729"/>
    </row>
    <row r="92" spans="1:17" x14ac:dyDescent="0.25">
      <c r="A92" s="84" t="s">
        <v>30</v>
      </c>
      <c r="B92" s="91"/>
      <c r="F92" s="794"/>
      <c r="G92" s="794"/>
      <c r="H92" s="794"/>
      <c r="I92" s="746">
        <f>'Data 2009-15 (Real $2008)'!I92</f>
        <v>0</v>
      </c>
      <c r="J92" s="333"/>
      <c r="K92" s="121"/>
      <c r="L92" s="794"/>
      <c r="M92" s="793"/>
      <c r="N92" s="794"/>
      <c r="O92" s="794"/>
      <c r="P92" s="79"/>
      <c r="Q92" s="75"/>
    </row>
    <row r="93" spans="1:17" x14ac:dyDescent="0.25">
      <c r="A93" s="84" t="s">
        <v>31</v>
      </c>
      <c r="B93" s="86"/>
      <c r="F93" s="794"/>
      <c r="G93" s="794"/>
      <c r="H93" s="794"/>
      <c r="I93" s="746">
        <f>'Data 2009-15 (Real $2008)'!I93</f>
        <v>0</v>
      </c>
      <c r="J93" s="333"/>
      <c r="K93" s="121"/>
      <c r="L93" s="794"/>
      <c r="M93" s="793"/>
      <c r="N93" s="794"/>
      <c r="O93" s="794"/>
      <c r="P93" s="79"/>
      <c r="Q93" s="75"/>
    </row>
    <row r="94" spans="1:17" x14ac:dyDescent="0.25">
      <c r="A94" s="84" t="s">
        <v>32</v>
      </c>
      <c r="B94" s="91"/>
      <c r="F94" s="794"/>
      <c r="G94" s="794"/>
      <c r="H94" s="794"/>
      <c r="I94" s="746">
        <f>'Data 2009-15 (Real $2008)'!I94</f>
        <v>0</v>
      </c>
      <c r="J94" s="333"/>
      <c r="K94" s="121"/>
      <c r="L94" s="794"/>
      <c r="M94" s="793"/>
      <c r="N94" s="794"/>
      <c r="O94" s="794"/>
      <c r="P94" s="79"/>
      <c r="Q94" s="75"/>
    </row>
    <row r="95" spans="1:17" x14ac:dyDescent="0.25">
      <c r="A95" s="84" t="s">
        <v>33</v>
      </c>
      <c r="B95" s="93"/>
      <c r="F95" s="794"/>
      <c r="G95" s="794"/>
      <c r="H95" s="794"/>
      <c r="I95" s="746">
        <f>'Data 2009-15 (Real $2008)'!I95</f>
        <v>0</v>
      </c>
      <c r="J95" s="333"/>
      <c r="K95" s="121"/>
      <c r="L95" s="794"/>
      <c r="M95" s="793"/>
      <c r="N95" s="794"/>
      <c r="O95" s="794"/>
      <c r="P95" s="79"/>
      <c r="Q95" s="75"/>
    </row>
    <row r="96" spans="1:17" x14ac:dyDescent="0.25">
      <c r="A96" s="84" t="s">
        <v>34</v>
      </c>
      <c r="B96" s="93"/>
      <c r="F96" s="794"/>
      <c r="G96" s="794"/>
      <c r="H96" s="794"/>
      <c r="I96" s="746">
        <f>'Data 2009-15 (Real $2008)'!I96</f>
        <v>0</v>
      </c>
      <c r="J96" s="333"/>
      <c r="K96" s="121"/>
      <c r="L96" s="794"/>
      <c r="M96" s="793"/>
      <c r="N96" s="794"/>
      <c r="O96" s="794"/>
      <c r="P96" s="79"/>
      <c r="Q96" s="75"/>
    </row>
    <row r="97" spans="1:17" x14ac:dyDescent="0.25">
      <c r="A97" s="84" t="s">
        <v>35</v>
      </c>
      <c r="B97" s="93"/>
      <c r="F97" s="794"/>
      <c r="G97" s="794"/>
      <c r="H97" s="794"/>
      <c r="I97" s="746">
        <f>'Data 2009-15 (Real $2008)'!I97</f>
        <v>0</v>
      </c>
      <c r="J97" s="333"/>
      <c r="K97" s="121"/>
      <c r="L97" s="794"/>
      <c r="M97" s="793"/>
      <c r="N97" s="794"/>
      <c r="O97" s="794"/>
      <c r="P97" s="79"/>
      <c r="Q97" s="75"/>
    </row>
    <row r="98" spans="1:17" x14ac:dyDescent="0.25">
      <c r="A98" s="565" t="s">
        <v>399</v>
      </c>
      <c r="B98" s="93"/>
      <c r="F98" s="794"/>
      <c r="G98" s="794"/>
      <c r="H98" s="794"/>
      <c r="I98" s="746">
        <f>'Data 2009-15 (Real $2008)'!I98</f>
        <v>160.21</v>
      </c>
      <c r="J98" s="333">
        <v>205.54</v>
      </c>
      <c r="K98" s="121"/>
      <c r="L98" s="794"/>
      <c r="M98" s="793"/>
      <c r="N98" s="794"/>
      <c r="O98" s="794"/>
      <c r="P98" s="79">
        <v>398557.46675785119</v>
      </c>
      <c r="Q98" s="75">
        <v>406120.02995804162</v>
      </c>
    </row>
    <row r="99" spans="1:17" x14ac:dyDescent="0.25">
      <c r="A99" s="565" t="s">
        <v>400</v>
      </c>
      <c r="B99" s="93"/>
      <c r="F99" s="794"/>
      <c r="G99" s="794"/>
      <c r="H99" s="794"/>
      <c r="I99" s="746">
        <f>'Data 2009-15 (Real $2008)'!I99</f>
        <v>184.1</v>
      </c>
      <c r="J99" s="333">
        <v>236.19</v>
      </c>
      <c r="K99" s="121"/>
      <c r="L99" s="794"/>
      <c r="M99" s="793"/>
      <c r="N99" s="794"/>
      <c r="O99" s="794"/>
      <c r="P99" s="79">
        <v>156548.59239537409</v>
      </c>
      <c r="Q99" s="75">
        <v>157702.89891689076</v>
      </c>
    </row>
    <row r="100" spans="1:17" x14ac:dyDescent="0.25">
      <c r="A100" s="565" t="s">
        <v>401</v>
      </c>
      <c r="B100" s="93"/>
      <c r="F100" s="794"/>
      <c r="G100" s="794"/>
      <c r="H100" s="794"/>
      <c r="I100" s="746">
        <f>'Data 2009-15 (Real $2008)'!I100</f>
        <v>222.42</v>
      </c>
      <c r="J100" s="333">
        <v>285.36</v>
      </c>
      <c r="K100" s="121"/>
      <c r="L100" s="794"/>
      <c r="M100" s="793"/>
      <c r="N100" s="794"/>
      <c r="O100" s="794"/>
      <c r="P100" s="79">
        <v>84284.130234145021</v>
      </c>
      <c r="Q100" s="75">
        <v>85357.055867229894</v>
      </c>
    </row>
    <row r="101" spans="1:17" x14ac:dyDescent="0.25">
      <c r="A101" s="565" t="s">
        <v>402</v>
      </c>
      <c r="B101" s="93"/>
      <c r="F101" s="794"/>
      <c r="G101" s="794"/>
      <c r="H101" s="794"/>
      <c r="I101" s="746">
        <f>'Data 2009-15 (Real $2008)'!I101</f>
        <v>246.73</v>
      </c>
      <c r="J101" s="333">
        <v>316.54000000000002</v>
      </c>
      <c r="K101" s="121"/>
      <c r="L101" s="794"/>
      <c r="M101" s="793"/>
      <c r="N101" s="794"/>
      <c r="O101" s="794"/>
      <c r="P101" s="79">
        <v>42292.871638879471</v>
      </c>
      <c r="Q101" s="75">
        <v>42316.309334747828</v>
      </c>
    </row>
    <row r="102" spans="1:17" x14ac:dyDescent="0.25">
      <c r="A102" s="565" t="s">
        <v>403</v>
      </c>
      <c r="B102" s="93"/>
      <c r="F102" s="794"/>
      <c r="G102" s="794"/>
      <c r="H102" s="794"/>
      <c r="I102" s="746">
        <f>'Data 2009-15 (Real $2008)'!I102</f>
        <v>317.7</v>
      </c>
      <c r="J102" s="333">
        <v>407.45000000000005</v>
      </c>
      <c r="K102" s="121"/>
      <c r="L102" s="794"/>
      <c r="M102" s="793"/>
      <c r="N102" s="794"/>
      <c r="O102" s="794"/>
      <c r="P102" s="79">
        <v>3826.2809487502545</v>
      </c>
      <c r="Q102" s="75">
        <v>3864.6927280900645</v>
      </c>
    </row>
    <row r="103" spans="1:17" x14ac:dyDescent="0.25">
      <c r="A103" s="84"/>
      <c r="B103" s="93"/>
      <c r="F103" s="794"/>
      <c r="G103" s="794"/>
      <c r="H103" s="794"/>
      <c r="I103" s="341"/>
      <c r="J103" s="335"/>
      <c r="K103" s="794"/>
      <c r="L103" s="794"/>
      <c r="M103" s="793"/>
      <c r="N103" s="794"/>
      <c r="O103" s="794"/>
      <c r="P103" s="23"/>
      <c r="Q103" s="729"/>
    </row>
    <row r="104" spans="1:17" x14ac:dyDescent="0.25">
      <c r="A104" s="84"/>
      <c r="B104" s="93"/>
      <c r="F104" s="794"/>
      <c r="G104" s="794"/>
      <c r="H104" s="794"/>
      <c r="I104" s="341"/>
      <c r="J104" s="335"/>
      <c r="K104" s="794"/>
      <c r="L104" s="794"/>
      <c r="M104" s="793"/>
      <c r="N104" s="794"/>
      <c r="O104" s="794"/>
      <c r="P104" s="23"/>
      <c r="Q104" s="729"/>
    </row>
    <row r="105" spans="1:17" x14ac:dyDescent="0.25">
      <c r="A105" s="90" t="s">
        <v>29</v>
      </c>
      <c r="F105" s="794"/>
      <c r="G105" s="794"/>
      <c r="H105" s="794"/>
      <c r="I105" s="521" t="s">
        <v>28</v>
      </c>
      <c r="J105" s="336"/>
      <c r="K105" s="120"/>
      <c r="L105" s="794"/>
      <c r="M105" s="793"/>
      <c r="N105" s="794"/>
      <c r="O105" s="794"/>
      <c r="P105" s="23"/>
      <c r="Q105" s="729"/>
    </row>
    <row r="106" spans="1:17" x14ac:dyDescent="0.25">
      <c r="A106" s="84" t="s">
        <v>30</v>
      </c>
      <c r="B106" s="93"/>
      <c r="F106" s="794"/>
      <c r="G106" s="794"/>
      <c r="H106" s="794"/>
      <c r="I106" s="746">
        <f>'Data 2009-15 (Real $2008)'!I106</f>
        <v>0</v>
      </c>
      <c r="J106" s="333"/>
      <c r="K106" s="121"/>
      <c r="L106" s="794"/>
      <c r="M106" s="793"/>
      <c r="N106" s="794"/>
      <c r="O106" s="794"/>
      <c r="P106" s="79"/>
      <c r="Q106" s="75"/>
    </row>
    <row r="107" spans="1:17" x14ac:dyDescent="0.25">
      <c r="A107" s="84" t="s">
        <v>31</v>
      </c>
      <c r="B107" s="93"/>
      <c r="F107" s="794"/>
      <c r="G107" s="794"/>
      <c r="H107" s="794"/>
      <c r="I107" s="746">
        <f>'Data 2009-15 (Real $2008)'!I107</f>
        <v>0</v>
      </c>
      <c r="J107" s="333"/>
      <c r="K107" s="121"/>
      <c r="L107" s="794"/>
      <c r="M107" s="793"/>
      <c r="N107" s="794"/>
      <c r="O107" s="794"/>
      <c r="P107" s="79"/>
      <c r="Q107" s="75"/>
    </row>
    <row r="108" spans="1:17" x14ac:dyDescent="0.25">
      <c r="A108" s="84" t="s">
        <v>32</v>
      </c>
      <c r="B108" s="93"/>
      <c r="F108" s="794"/>
      <c r="G108" s="794"/>
      <c r="H108" s="794"/>
      <c r="I108" s="746">
        <f>'Data 2009-15 (Real $2008)'!I108</f>
        <v>0</v>
      </c>
      <c r="J108" s="333"/>
      <c r="K108" s="121"/>
      <c r="L108" s="794"/>
      <c r="M108" s="793"/>
      <c r="N108" s="794"/>
      <c r="O108" s="794"/>
      <c r="P108" s="79"/>
      <c r="Q108" s="75"/>
    </row>
    <row r="109" spans="1:17" x14ac:dyDescent="0.25">
      <c r="A109" s="84" t="s">
        <v>33</v>
      </c>
      <c r="B109" s="93"/>
      <c r="F109" s="794"/>
      <c r="G109" s="794"/>
      <c r="H109" s="794"/>
      <c r="I109" s="746">
        <f>'Data 2009-15 (Real $2008)'!I109</f>
        <v>0</v>
      </c>
      <c r="J109" s="333"/>
      <c r="K109" s="121"/>
      <c r="L109" s="794"/>
      <c r="M109" s="793"/>
      <c r="N109" s="794"/>
      <c r="O109" s="794"/>
      <c r="P109" s="79"/>
      <c r="Q109" s="75"/>
    </row>
    <row r="110" spans="1:17" x14ac:dyDescent="0.25">
      <c r="A110" s="84" t="s">
        <v>34</v>
      </c>
      <c r="B110" s="93"/>
      <c r="F110" s="794"/>
      <c r="G110" s="794"/>
      <c r="H110" s="794"/>
      <c r="I110" s="746">
        <f>'Data 2009-15 (Real $2008)'!I110</f>
        <v>0</v>
      </c>
      <c r="J110" s="333"/>
      <c r="K110" s="121"/>
      <c r="L110" s="794"/>
      <c r="M110" s="793"/>
      <c r="N110" s="794"/>
      <c r="O110" s="794"/>
      <c r="P110" s="79"/>
      <c r="Q110" s="75"/>
    </row>
    <row r="111" spans="1:17" x14ac:dyDescent="0.25">
      <c r="A111" s="84" t="s">
        <v>35</v>
      </c>
      <c r="B111" s="91"/>
      <c r="F111" s="794"/>
      <c r="G111" s="794"/>
      <c r="H111" s="794"/>
      <c r="I111" s="746">
        <f>'Data 2009-15 (Real $2008)'!I111</f>
        <v>0</v>
      </c>
      <c r="J111" s="333"/>
      <c r="K111" s="121"/>
      <c r="L111" s="794"/>
      <c r="M111" s="793"/>
      <c r="N111" s="794"/>
      <c r="O111" s="794"/>
      <c r="P111" s="79"/>
      <c r="Q111" s="75"/>
    </row>
    <row r="112" spans="1:17" x14ac:dyDescent="0.25">
      <c r="A112" s="565" t="s">
        <v>370</v>
      </c>
      <c r="B112" s="91"/>
      <c r="F112" s="794"/>
      <c r="G112" s="794"/>
      <c r="H112" s="794"/>
      <c r="I112" s="746">
        <f>'Data 2009-15 (Real $2008)'!I112</f>
        <v>0</v>
      </c>
      <c r="J112" s="333"/>
      <c r="K112" s="121"/>
      <c r="L112" s="794"/>
      <c r="M112" s="793"/>
      <c r="N112" s="794"/>
      <c r="O112" s="794"/>
      <c r="P112" s="79"/>
      <c r="Q112" s="75"/>
    </row>
    <row r="113" spans="1:17" x14ac:dyDescent="0.25">
      <c r="A113" s="565" t="s">
        <v>371</v>
      </c>
      <c r="B113" s="91"/>
      <c r="F113" s="794"/>
      <c r="G113" s="794"/>
      <c r="H113" s="794"/>
      <c r="I113" s="746">
        <f>'Data 2009-15 (Real $2008)'!I113</f>
        <v>0</v>
      </c>
      <c r="J113" s="333"/>
      <c r="K113" s="121"/>
      <c r="L113" s="794"/>
      <c r="M113" s="793"/>
      <c r="N113" s="794"/>
      <c r="O113" s="794"/>
      <c r="P113" s="79"/>
      <c r="Q113" s="75"/>
    </row>
    <row r="114" spans="1:17" x14ac:dyDescent="0.25">
      <c r="A114" s="565" t="s">
        <v>372</v>
      </c>
      <c r="B114" s="91"/>
      <c r="F114" s="794"/>
      <c r="G114" s="794"/>
      <c r="H114" s="794"/>
      <c r="I114" s="746">
        <f>'Data 2009-15 (Real $2008)'!I114</f>
        <v>0</v>
      </c>
      <c r="J114" s="333"/>
      <c r="K114" s="121"/>
      <c r="L114" s="794"/>
      <c r="M114" s="793"/>
      <c r="N114" s="794"/>
      <c r="O114" s="794"/>
      <c r="P114" s="79"/>
      <c r="Q114" s="75"/>
    </row>
    <row r="115" spans="1:17" x14ac:dyDescent="0.25">
      <c r="A115" s="565" t="s">
        <v>373</v>
      </c>
      <c r="F115" s="794"/>
      <c r="G115" s="794"/>
      <c r="H115" s="794"/>
      <c r="I115" s="746">
        <f>'Data 2009-15 (Real $2008)'!I115</f>
        <v>0</v>
      </c>
      <c r="J115" s="333"/>
      <c r="K115" s="121"/>
      <c r="L115" s="794"/>
      <c r="M115" s="793"/>
      <c r="N115" s="794"/>
      <c r="O115" s="794"/>
      <c r="P115" s="79"/>
      <c r="Q115" s="75"/>
    </row>
    <row r="116" spans="1:17" x14ac:dyDescent="0.25">
      <c r="A116" s="565" t="s">
        <v>374</v>
      </c>
      <c r="B116" s="60"/>
      <c r="F116" s="794"/>
      <c r="G116" s="794"/>
      <c r="H116" s="794"/>
      <c r="I116" s="757">
        <f>'Data 2009-15 (Real $2008)'!I116</f>
        <v>0</v>
      </c>
      <c r="J116" s="337"/>
      <c r="K116" s="121"/>
      <c r="L116" s="794"/>
      <c r="M116" s="793"/>
      <c r="N116" s="794"/>
      <c r="O116" s="794"/>
      <c r="P116" s="80"/>
      <c r="Q116" s="81"/>
    </row>
    <row r="117" spans="1:17" x14ac:dyDescent="0.25">
      <c r="B117" s="60"/>
      <c r="F117" s="794"/>
      <c r="G117" s="794"/>
      <c r="H117" s="794"/>
      <c r="L117" s="794"/>
    </row>
    <row r="119" spans="1:17" s="793" customFormat="1" ht="13.8" thickBot="1" x14ac:dyDescent="0.3">
      <c r="A119" s="807"/>
      <c r="B119" s="882"/>
      <c r="C119" s="807"/>
      <c r="D119" s="807"/>
      <c r="E119" s="807"/>
      <c r="F119" s="807"/>
      <c r="G119" s="807"/>
      <c r="H119" s="807"/>
      <c r="I119" s="807"/>
      <c r="J119" s="807"/>
      <c r="K119" s="883"/>
      <c r="L119" s="807"/>
      <c r="M119" s="807"/>
      <c r="N119" s="807"/>
      <c r="O119" s="807"/>
      <c r="P119" s="807"/>
      <c r="Q119" s="807"/>
    </row>
    <row r="120" spans="1:17" s="793" customFormat="1" x14ac:dyDescent="0.25">
      <c r="B120" s="836"/>
      <c r="K120" s="786"/>
      <c r="L120" s="806"/>
      <c r="M120" s="806"/>
      <c r="N120" s="806"/>
      <c r="O120" s="806"/>
    </row>
    <row r="121" spans="1:17" s="793" customFormat="1" x14ac:dyDescent="0.25">
      <c r="B121" s="836"/>
      <c r="K121" s="786"/>
      <c r="L121" s="806"/>
      <c r="M121" s="806"/>
      <c r="N121" s="806"/>
      <c r="O121" s="806"/>
    </row>
    <row r="122" spans="1:17" s="793" customFormat="1" x14ac:dyDescent="0.25">
      <c r="B122" s="836"/>
      <c r="K122" s="786"/>
      <c r="L122" s="806"/>
      <c r="M122" s="806"/>
      <c r="N122" s="806"/>
      <c r="O122" s="806"/>
    </row>
  </sheetData>
  <mergeCells count="2">
    <mergeCell ref="I65:J65"/>
    <mergeCell ref="P65:Q65"/>
  </mergeCells>
  <phoneticPr fontId="0" type="noConversion"/>
  <printOptions gridLines="1"/>
  <pageMargins left="0.75" right="0.75" top="0.3" bottom="0.34" header="0.18" footer="0.2"/>
  <pageSetup paperSize="8" scale="36" orientation="portrait" r:id="rId1"/>
  <headerFooter alignWithMargins="0">
    <oddFooter>&amp;L&amp;D&amp;R&amp;A \ 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N231"/>
  <sheetViews>
    <sheetView zoomScale="85" workbookViewId="0">
      <pane ySplit="1" topLeftCell="A2" activePane="bottomLeft" state="frozen"/>
      <selection pane="bottomLeft" activeCell="E1" sqref="E1"/>
    </sheetView>
  </sheetViews>
  <sheetFormatPr defaultColWidth="9.109375" defaultRowHeight="13.2" x14ac:dyDescent="0.25"/>
  <cols>
    <col min="1" max="1" width="58.5546875" style="461" customWidth="1"/>
    <col min="2" max="2" width="11.44140625" style="465" customWidth="1"/>
    <col min="3" max="3" width="18.88671875" style="461" customWidth="1"/>
    <col min="4" max="4" width="13.109375" style="461" customWidth="1"/>
    <col min="5" max="5" width="12.44140625" style="461" customWidth="1"/>
    <col min="6" max="6" width="13.33203125" style="461" customWidth="1"/>
    <col min="7" max="7" width="10.5546875" style="461" customWidth="1"/>
    <col min="8" max="8" width="12" style="461" customWidth="1"/>
    <col min="9" max="9" width="13.44140625" style="461" customWidth="1"/>
    <col min="10" max="10" width="11.44140625" style="461" customWidth="1"/>
    <col min="11" max="11" width="9.109375" style="461"/>
    <col min="12" max="12" width="13" style="461" customWidth="1"/>
    <col min="13" max="16384" width="9.109375" style="461"/>
  </cols>
  <sheetData>
    <row r="1" spans="1:11" x14ac:dyDescent="0.25">
      <c r="A1" s="584" t="str">
        <f>'IMRO Decision 2006-10'!A1</f>
        <v>SP AusNet</v>
      </c>
      <c r="B1" s="585" t="s">
        <v>0</v>
      </c>
      <c r="C1" s="586" t="str">
        <f>IF(SUM(C201)&lt;0.001,"Ok","Error")</f>
        <v>Ok</v>
      </c>
      <c r="D1" s="784">
        <f>C201</f>
        <v>0</v>
      </c>
      <c r="E1" s="587"/>
      <c r="F1" s="587"/>
      <c r="G1" s="587"/>
      <c r="H1" s="587"/>
      <c r="I1" s="587"/>
      <c r="J1" s="587"/>
      <c r="K1" s="587"/>
    </row>
    <row r="2" spans="1:11" s="465" customFormat="1" ht="13.8" x14ac:dyDescent="0.25">
      <c r="A2" s="588"/>
      <c r="B2" s="588"/>
      <c r="C2" s="589"/>
      <c r="D2" s="589"/>
      <c r="E2" s="589"/>
      <c r="F2" s="589"/>
      <c r="G2" s="589"/>
      <c r="H2" s="589"/>
      <c r="I2" s="589"/>
      <c r="J2" s="589"/>
      <c r="K2" s="589"/>
    </row>
    <row r="3" spans="1:11" ht="15.6" x14ac:dyDescent="0.3">
      <c r="A3" s="813" t="s">
        <v>405</v>
      </c>
      <c r="B3" s="590"/>
    </row>
    <row r="4" spans="1:11" s="465" customFormat="1" x14ac:dyDescent="0.25">
      <c r="A4" s="591"/>
      <c r="B4" s="591"/>
    </row>
    <row r="5" spans="1:11" ht="15.6" x14ac:dyDescent="0.3">
      <c r="A5" s="967" t="s">
        <v>40</v>
      </c>
      <c r="B5" s="968"/>
      <c r="C5" s="968"/>
      <c r="D5" s="969"/>
      <c r="E5" s="969"/>
      <c r="F5" s="970"/>
    </row>
    <row r="6" spans="1:11" s="465" customFormat="1" x14ac:dyDescent="0.25">
      <c r="A6" s="592" t="s">
        <v>74</v>
      </c>
      <c r="B6" s="593"/>
    </row>
    <row r="7" spans="1:11" s="465" customFormat="1" x14ac:dyDescent="0.25">
      <c r="A7" s="453"/>
      <c r="B7" s="453"/>
    </row>
    <row r="8" spans="1:11" x14ac:dyDescent="0.25">
      <c r="C8" s="33" t="s">
        <v>7</v>
      </c>
      <c r="D8" s="814">
        <v>2006</v>
      </c>
      <c r="E8" s="77">
        <v>2007</v>
      </c>
      <c r="F8" s="815">
        <v>2008</v>
      </c>
    </row>
    <row r="9" spans="1:11" ht="12.75" customHeight="1" x14ac:dyDescent="0.25">
      <c r="A9" s="596" t="s">
        <v>37</v>
      </c>
      <c r="B9" s="596"/>
      <c r="C9" s="34" t="s">
        <v>8</v>
      </c>
      <c r="D9" s="964" t="s">
        <v>41</v>
      </c>
      <c r="E9" s="965"/>
      <c r="F9" s="966"/>
    </row>
    <row r="10" spans="1:11" x14ac:dyDescent="0.25">
      <c r="A10" s="461" t="str">
        <f>A$161</f>
        <v>Accumulation Meters</v>
      </c>
      <c r="C10" s="816">
        <f>C161</f>
        <v>35</v>
      </c>
      <c r="D10" s="817">
        <v>3884866</v>
      </c>
      <c r="E10" s="818">
        <v>3731713.7004690147</v>
      </c>
      <c r="F10" s="819">
        <v>4655660.0456358176</v>
      </c>
      <c r="G10" s="597"/>
    </row>
    <row r="11" spans="1:11" x14ac:dyDescent="0.25">
      <c r="A11" s="461" t="str">
        <f>A$162</f>
        <v>Manually read interval meters</v>
      </c>
      <c r="C11" s="820">
        <f>C162</f>
        <v>10</v>
      </c>
      <c r="D11" s="758">
        <v>1152440</v>
      </c>
      <c r="E11" s="759">
        <v>3068765.1960286894</v>
      </c>
      <c r="F11" s="760">
        <v>4079284.046640974</v>
      </c>
      <c r="G11" s="597"/>
    </row>
    <row r="12" spans="1:11" x14ac:dyDescent="0.25">
      <c r="A12" s="461" t="str">
        <f>A$163</f>
        <v>Metering Data Services (IT)</v>
      </c>
      <c r="C12" s="820">
        <f>C163</f>
        <v>5</v>
      </c>
      <c r="D12" s="758">
        <v>2265768</v>
      </c>
      <c r="E12" s="759">
        <v>63679.999999997999</v>
      </c>
      <c r="F12" s="760">
        <v>111640.67900000009</v>
      </c>
      <c r="G12" s="597"/>
    </row>
    <row r="13" spans="1:11" x14ac:dyDescent="0.25">
      <c r="A13" s="461" t="str">
        <f>A$164</f>
        <v>Metering Data Services (Other)</v>
      </c>
      <c r="C13" s="821">
        <f>C164</f>
        <v>5</v>
      </c>
      <c r="D13" s="822">
        <v>222281</v>
      </c>
      <c r="E13" s="823">
        <v>114613.28107590035</v>
      </c>
      <c r="F13" s="824">
        <v>0</v>
      </c>
      <c r="G13" s="597"/>
    </row>
    <row r="14" spans="1:11" ht="13.8" thickBot="1" x14ac:dyDescent="0.3">
      <c r="A14" s="598" t="s">
        <v>45</v>
      </c>
      <c r="B14" s="598"/>
      <c r="C14" s="825"/>
      <c r="D14" s="826">
        <f>SUM(D10:D13)</f>
        <v>7525355</v>
      </c>
      <c r="E14" s="827">
        <f>SUM(E10:E13)</f>
        <v>6978772.1775736026</v>
      </c>
      <c r="F14" s="828">
        <f>SUM(F10:F13)</f>
        <v>8846584.7712767906</v>
      </c>
      <c r="G14" s="597"/>
    </row>
    <row r="15" spans="1:11" ht="13.8" thickTop="1" x14ac:dyDescent="0.25">
      <c r="C15" s="825"/>
      <c r="D15" s="825"/>
      <c r="E15" s="825"/>
      <c r="F15" s="825"/>
    </row>
    <row r="16" spans="1:11" x14ac:dyDescent="0.25">
      <c r="C16" s="825"/>
      <c r="D16" s="825"/>
      <c r="E16" s="825"/>
      <c r="F16" s="825"/>
    </row>
    <row r="17" spans="1:6" x14ac:dyDescent="0.25">
      <c r="A17" s="462"/>
      <c r="B17" s="600"/>
      <c r="C17" s="308" t="s">
        <v>276</v>
      </c>
      <c r="D17" s="77">
        <v>2006</v>
      </c>
      <c r="E17" s="829">
        <v>2007</v>
      </c>
      <c r="F17" s="815">
        <v>2008</v>
      </c>
    </row>
    <row r="18" spans="1:6" x14ac:dyDescent="0.25">
      <c r="A18" s="601" t="s">
        <v>47</v>
      </c>
      <c r="B18" s="602"/>
      <c r="C18" s="321" t="s">
        <v>48</v>
      </c>
      <c r="D18" s="974" t="s">
        <v>22</v>
      </c>
      <c r="E18" s="965"/>
      <c r="F18" s="966"/>
    </row>
    <row r="19" spans="1:6" x14ac:dyDescent="0.25">
      <c r="A19" s="461" t="str">
        <f>A$176</f>
        <v>Standard metering (Group 1) (Unit cost &lt; $1,000)</v>
      </c>
      <c r="C19" s="830">
        <f>C176</f>
        <v>0.375</v>
      </c>
      <c r="D19" s="831">
        <f>SUM(D10:D11)-D20</f>
        <v>5037306</v>
      </c>
      <c r="E19" s="831">
        <f>SUM(E10:E11)-E20</f>
        <v>6800478.8964977041</v>
      </c>
      <c r="F19" s="832">
        <f>SUM(F10:F11)-F20</f>
        <v>8734944.0922767911</v>
      </c>
    </row>
    <row r="20" spans="1:6" x14ac:dyDescent="0.25">
      <c r="A20" s="461" t="str">
        <f>A$177</f>
        <v>Standard metering (Group 2) (Unit cost =&gt; $1,000)</v>
      </c>
      <c r="C20" s="830">
        <f>C177</f>
        <v>0.06</v>
      </c>
      <c r="D20" s="758">
        <v>0</v>
      </c>
      <c r="E20" s="759">
        <v>0</v>
      </c>
      <c r="F20" s="760">
        <v>0</v>
      </c>
    </row>
    <row r="21" spans="1:6" x14ac:dyDescent="0.25">
      <c r="A21" s="461" t="str">
        <f>A$178</f>
        <v>IT</v>
      </c>
      <c r="B21" s="600"/>
      <c r="C21" s="830">
        <f>C178</f>
        <v>0.4</v>
      </c>
      <c r="D21" s="831">
        <f t="shared" ref="D21:F22" si="0">D12</f>
        <v>2265768</v>
      </c>
      <c r="E21" s="831">
        <f t="shared" si="0"/>
        <v>63679.999999997999</v>
      </c>
      <c r="F21" s="832">
        <f t="shared" si="0"/>
        <v>111640.67900000009</v>
      </c>
    </row>
    <row r="22" spans="1:6" x14ac:dyDescent="0.25">
      <c r="A22" s="597" t="str">
        <f>A$179</f>
        <v>Other</v>
      </c>
      <c r="B22" s="600"/>
      <c r="C22" s="833">
        <f>C179</f>
        <v>0.1764705882352941</v>
      </c>
      <c r="D22" s="831">
        <f t="shared" si="0"/>
        <v>222281</v>
      </c>
      <c r="E22" s="831">
        <f t="shared" si="0"/>
        <v>114613.28107590035</v>
      </c>
      <c r="F22" s="832">
        <f t="shared" si="0"/>
        <v>0</v>
      </c>
    </row>
    <row r="23" spans="1:6" ht="13.8" thickBot="1" x14ac:dyDescent="0.3">
      <c r="A23" s="598" t="s">
        <v>45</v>
      </c>
      <c r="B23" s="598"/>
      <c r="C23" s="825"/>
      <c r="D23" s="826">
        <f>SUM(D19:D22)</f>
        <v>7525355</v>
      </c>
      <c r="E23" s="827">
        <f>SUM(E19:E22)</f>
        <v>6978772.1775736026</v>
      </c>
      <c r="F23" s="828">
        <f>SUM(F19:F22)</f>
        <v>8846584.7712767906</v>
      </c>
    </row>
    <row r="24" spans="1:6" ht="13.8" thickTop="1" x14ac:dyDescent="0.25">
      <c r="C24" s="825"/>
      <c r="D24" s="825"/>
      <c r="E24" s="825"/>
      <c r="F24" s="825"/>
    </row>
    <row r="25" spans="1:6" x14ac:dyDescent="0.25">
      <c r="C25" s="825"/>
      <c r="D25" s="825"/>
      <c r="E25" s="825"/>
      <c r="F25" s="825"/>
    </row>
    <row r="26" spans="1:6" x14ac:dyDescent="0.25">
      <c r="C26" s="825"/>
      <c r="D26" s="814">
        <v>2006</v>
      </c>
      <c r="E26" s="77">
        <v>2007</v>
      </c>
      <c r="F26" s="815">
        <v>2008</v>
      </c>
    </row>
    <row r="27" spans="1:6" ht="12.75" customHeight="1" x14ac:dyDescent="0.25">
      <c r="A27" s="89" t="s">
        <v>259</v>
      </c>
      <c r="B27" s="453"/>
      <c r="C27" s="825"/>
      <c r="D27" s="971" t="s">
        <v>22</v>
      </c>
      <c r="E27" s="972"/>
      <c r="F27" s="973" t="s">
        <v>46</v>
      </c>
    </row>
    <row r="28" spans="1:6" x14ac:dyDescent="0.25">
      <c r="A28" s="461" t="s">
        <v>125</v>
      </c>
      <c r="C28" s="825"/>
      <c r="D28" s="817">
        <v>0</v>
      </c>
      <c r="E28" s="818">
        <v>0</v>
      </c>
      <c r="F28" s="819">
        <v>0</v>
      </c>
    </row>
    <row r="29" spans="1:6" x14ac:dyDescent="0.25">
      <c r="A29" s="461" t="s">
        <v>5</v>
      </c>
      <c r="C29" s="825"/>
      <c r="D29" s="822">
        <v>0</v>
      </c>
      <c r="E29" s="823">
        <v>0</v>
      </c>
      <c r="F29" s="824">
        <v>0</v>
      </c>
    </row>
    <row r="30" spans="1:6" x14ac:dyDescent="0.25">
      <c r="C30" s="825"/>
      <c r="D30" s="825"/>
      <c r="E30" s="825"/>
      <c r="F30" s="825"/>
    </row>
    <row r="31" spans="1:6" x14ac:dyDescent="0.25">
      <c r="C31" s="825"/>
      <c r="D31" s="825"/>
      <c r="E31" s="825"/>
      <c r="F31" s="825"/>
    </row>
    <row r="32" spans="1:6" x14ac:dyDescent="0.25">
      <c r="A32" s="604" t="s">
        <v>274</v>
      </c>
      <c r="B32" s="605"/>
      <c r="C32" s="825"/>
      <c r="D32" s="825"/>
      <c r="E32" s="825"/>
      <c r="F32" s="825"/>
    </row>
    <row r="33" spans="1:6" x14ac:dyDescent="0.25">
      <c r="A33" s="465" t="s">
        <v>287</v>
      </c>
      <c r="C33" s="834" t="s">
        <v>280</v>
      </c>
      <c r="D33" s="825"/>
      <c r="E33" s="825"/>
      <c r="F33" s="825"/>
    </row>
    <row r="34" spans="1:6" x14ac:dyDescent="0.25">
      <c r="A34" s="461" t="s">
        <v>288</v>
      </c>
      <c r="C34" s="835">
        <v>2013</v>
      </c>
      <c r="D34" s="825"/>
      <c r="E34" s="825"/>
      <c r="F34" s="825"/>
    </row>
    <row r="35" spans="1:6" x14ac:dyDescent="0.25">
      <c r="C35" s="825"/>
      <c r="D35" s="825"/>
      <c r="E35" s="825"/>
      <c r="F35" s="825"/>
    </row>
    <row r="36" spans="1:6" x14ac:dyDescent="0.25">
      <c r="C36" s="825"/>
      <c r="D36" s="825"/>
      <c r="E36" s="825"/>
      <c r="F36" s="825"/>
    </row>
    <row r="37" spans="1:6" x14ac:dyDescent="0.25">
      <c r="C37" s="825"/>
      <c r="D37" s="814">
        <v>2006</v>
      </c>
      <c r="E37" s="829">
        <v>2007</v>
      </c>
      <c r="F37" s="815">
        <v>2008</v>
      </c>
    </row>
    <row r="38" spans="1:6" ht="12.75" customHeight="1" x14ac:dyDescent="0.25">
      <c r="A38" s="89" t="s">
        <v>257</v>
      </c>
      <c r="B38" s="453"/>
      <c r="C38" s="825"/>
      <c r="D38" s="964" t="s">
        <v>73</v>
      </c>
      <c r="E38" s="965"/>
      <c r="F38" s="966"/>
    </row>
    <row r="39" spans="1:6" s="465" customFormat="1" ht="12.75" customHeight="1" x14ac:dyDescent="0.25">
      <c r="A39" s="606" t="s">
        <v>158</v>
      </c>
      <c r="B39" s="607"/>
      <c r="C39" s="836"/>
      <c r="D39" s="837"/>
      <c r="E39" s="838"/>
      <c r="F39" s="839"/>
    </row>
    <row r="40" spans="1:6" x14ac:dyDescent="0.25">
      <c r="A40" s="461" t="s">
        <v>159</v>
      </c>
      <c r="C40" s="840" t="s">
        <v>269</v>
      </c>
      <c r="D40" s="758">
        <v>196765.7254</v>
      </c>
      <c r="E40" s="759">
        <v>517644.13400000002</v>
      </c>
      <c r="F40" s="760">
        <v>490545.0344</v>
      </c>
    </row>
    <row r="41" spans="1:6" x14ac:dyDescent="0.25">
      <c r="A41" s="461" t="s">
        <v>90</v>
      </c>
      <c r="C41" s="840" t="s">
        <v>268</v>
      </c>
      <c r="D41" s="758">
        <v>0</v>
      </c>
      <c r="E41" s="759">
        <v>0</v>
      </c>
      <c r="F41" s="760">
        <v>0</v>
      </c>
    </row>
    <row r="42" spans="1:6" x14ac:dyDescent="0.25">
      <c r="A42" s="461" t="s">
        <v>45</v>
      </c>
      <c r="C42" s="825"/>
      <c r="D42" s="841">
        <f>SUM(D40:D41)</f>
        <v>196765.7254</v>
      </c>
      <c r="E42" s="842">
        <f>SUM(E40:E41)</f>
        <v>517644.13400000002</v>
      </c>
      <c r="F42" s="843">
        <f>SUM(F40:F41)</f>
        <v>490545.0344</v>
      </c>
    </row>
    <row r="43" spans="1:6" x14ac:dyDescent="0.25">
      <c r="C43" s="825"/>
      <c r="D43" s="844"/>
      <c r="E43" s="831"/>
      <c r="F43" s="832"/>
    </row>
    <row r="44" spans="1:6" x14ac:dyDescent="0.25">
      <c r="A44" s="606" t="s">
        <v>160</v>
      </c>
      <c r="B44" s="607"/>
      <c r="C44" s="825"/>
      <c r="D44" s="844"/>
      <c r="E44" s="831"/>
      <c r="F44" s="832"/>
    </row>
    <row r="45" spans="1:6" x14ac:dyDescent="0.25">
      <c r="A45" s="461" t="s">
        <v>24</v>
      </c>
      <c r="C45" s="840" t="s">
        <v>269</v>
      </c>
      <c r="D45" s="758">
        <v>8374116.0488559995</v>
      </c>
      <c r="E45" s="759">
        <v>7403752.3311585048</v>
      </c>
      <c r="F45" s="760">
        <v>9000552.3345711287</v>
      </c>
    </row>
    <row r="46" spans="1:6" x14ac:dyDescent="0.25">
      <c r="A46" s="461" t="s">
        <v>262</v>
      </c>
      <c r="C46" s="840" t="s">
        <v>269</v>
      </c>
      <c r="D46" s="758">
        <v>180441.21576354679</v>
      </c>
      <c r="E46" s="759">
        <v>143458.41723118219</v>
      </c>
      <c r="F46" s="760">
        <v>205691.66480831188</v>
      </c>
    </row>
    <row r="47" spans="1:6" x14ac:dyDescent="0.25">
      <c r="A47" s="610" t="s">
        <v>54</v>
      </c>
      <c r="B47" s="600"/>
      <c r="C47" s="840" t="s">
        <v>268</v>
      </c>
      <c r="D47" s="758">
        <v>2049635.5721609329</v>
      </c>
      <c r="E47" s="759">
        <v>2907290.7879588599</v>
      </c>
      <c r="F47" s="760">
        <v>3094360.020275455</v>
      </c>
    </row>
    <row r="48" spans="1:6" x14ac:dyDescent="0.25">
      <c r="A48" s="461" t="s">
        <v>45</v>
      </c>
      <c r="C48" s="825"/>
      <c r="D48" s="841">
        <f>SUM(D45:D47)</f>
        <v>10604192.836780479</v>
      </c>
      <c r="E48" s="842">
        <f>SUM(E45:E47)</f>
        <v>10454501.536348548</v>
      </c>
      <c r="F48" s="843">
        <f>SUM(F45:F47)</f>
        <v>12300604.019654896</v>
      </c>
    </row>
    <row r="49" spans="1:6" x14ac:dyDescent="0.25">
      <c r="A49" s="462"/>
      <c r="B49" s="600"/>
      <c r="C49" s="825"/>
      <c r="D49" s="845"/>
      <c r="E49" s="846"/>
      <c r="F49" s="847"/>
    </row>
    <row r="50" spans="1:6" ht="13.8" thickBot="1" x14ac:dyDescent="0.3">
      <c r="A50" s="610" t="s">
        <v>258</v>
      </c>
      <c r="B50" s="600"/>
      <c r="C50" s="848"/>
      <c r="D50" s="826">
        <f>SUM(D42,D48)</f>
        <v>10800958.56218048</v>
      </c>
      <c r="E50" s="827">
        <f>SUM(E42,E48)</f>
        <v>10972145.670348547</v>
      </c>
      <c r="F50" s="849">
        <f>SUM(F42,F48)</f>
        <v>12791149.054054895</v>
      </c>
    </row>
    <row r="51" spans="1:6" ht="13.8" thickTop="1" x14ac:dyDescent="0.25">
      <c r="C51" s="825"/>
      <c r="D51" s="825"/>
      <c r="E51" s="825"/>
      <c r="F51" s="825"/>
    </row>
    <row r="52" spans="1:6" x14ac:dyDescent="0.25">
      <c r="C52" s="825"/>
      <c r="D52" s="825"/>
      <c r="E52" s="825"/>
      <c r="F52" s="825"/>
    </row>
    <row r="53" spans="1:6" ht="13.8" thickBot="1" x14ac:dyDescent="0.3">
      <c r="A53" s="611" t="s">
        <v>270</v>
      </c>
      <c r="B53" s="612"/>
      <c r="C53" s="825"/>
      <c r="D53" s="827">
        <f>SUM(D40,D45:D46)</f>
        <v>8751322.9900195468</v>
      </c>
      <c r="E53" s="827">
        <f>SUM(E40,E45:E46)</f>
        <v>8064854.882389687</v>
      </c>
      <c r="F53" s="827">
        <f>SUM(F40,F45:F46)</f>
        <v>9696789.0337794404</v>
      </c>
    </row>
    <row r="54" spans="1:6" ht="13.8" thickTop="1" x14ac:dyDescent="0.25">
      <c r="A54" s="462"/>
      <c r="B54" s="600"/>
      <c r="C54" s="825"/>
      <c r="D54" s="825"/>
      <c r="E54" s="825"/>
      <c r="F54" s="825"/>
    </row>
    <row r="55" spans="1:6" x14ac:dyDescent="0.25">
      <c r="C55" s="848"/>
      <c r="D55" s="825"/>
      <c r="E55" s="825"/>
      <c r="F55" s="825"/>
    </row>
    <row r="56" spans="1:6" x14ac:dyDescent="0.25">
      <c r="A56" s="89" t="s">
        <v>271</v>
      </c>
      <c r="B56" s="453"/>
      <c r="C56" s="848"/>
      <c r="D56" s="814">
        <v>2006</v>
      </c>
      <c r="E56" s="77">
        <v>2007</v>
      </c>
      <c r="F56" s="815">
        <v>2008</v>
      </c>
    </row>
    <row r="57" spans="1:6" x14ac:dyDescent="0.25">
      <c r="A57" s="613"/>
      <c r="B57" s="614"/>
      <c r="C57" s="848"/>
      <c r="D57" s="964" t="s">
        <v>355</v>
      </c>
      <c r="E57" s="965"/>
      <c r="F57" s="966"/>
    </row>
    <row r="58" spans="1:6" x14ac:dyDescent="0.25">
      <c r="A58" s="615" t="s">
        <v>52</v>
      </c>
      <c r="B58" s="616"/>
      <c r="C58" s="848"/>
      <c r="D58" s="850"/>
      <c r="E58" s="851"/>
      <c r="F58" s="832"/>
    </row>
    <row r="59" spans="1:6" x14ac:dyDescent="0.25">
      <c r="A59" s="618" t="s">
        <v>55</v>
      </c>
      <c r="B59" s="598"/>
      <c r="C59" s="848"/>
      <c r="D59" s="758">
        <v>747003</v>
      </c>
      <c r="E59" s="759">
        <v>754801</v>
      </c>
      <c r="F59" s="760">
        <v>766965</v>
      </c>
    </row>
    <row r="60" spans="1:6" x14ac:dyDescent="0.25">
      <c r="A60" s="613"/>
      <c r="B60" s="614"/>
      <c r="C60" s="848"/>
      <c r="D60" s="850"/>
      <c r="E60" s="851"/>
      <c r="F60" s="832"/>
    </row>
    <row r="61" spans="1:6" x14ac:dyDescent="0.25">
      <c r="A61" s="615" t="s">
        <v>24</v>
      </c>
      <c r="B61" s="616"/>
      <c r="C61" s="825"/>
      <c r="D61" s="852"/>
      <c r="E61" s="848"/>
      <c r="F61" s="853"/>
    </row>
    <row r="62" spans="1:6" x14ac:dyDescent="0.25">
      <c r="A62" s="618" t="s">
        <v>263</v>
      </c>
      <c r="B62" s="598"/>
      <c r="C62" s="825"/>
      <c r="D62" s="852"/>
      <c r="E62" s="848"/>
      <c r="F62" s="853"/>
    </row>
    <row r="63" spans="1:6" x14ac:dyDescent="0.25">
      <c r="A63" s="618" t="s">
        <v>56</v>
      </c>
      <c r="B63" s="598"/>
      <c r="C63" s="825"/>
      <c r="D63" s="758">
        <v>6764.148180531156</v>
      </c>
      <c r="E63" s="759">
        <v>6872.3695841620784</v>
      </c>
      <c r="F63" s="760">
        <v>7136.2499837070427</v>
      </c>
    </row>
    <row r="64" spans="1:6" x14ac:dyDescent="0.25">
      <c r="A64" s="618" t="s">
        <v>57</v>
      </c>
      <c r="B64" s="598"/>
      <c r="C64" s="825"/>
      <c r="D64" s="758">
        <v>716482.85181946878</v>
      </c>
      <c r="E64" s="759">
        <v>719578.63041583798</v>
      </c>
      <c r="F64" s="760">
        <v>725810.75001629291</v>
      </c>
    </row>
    <row r="65" spans="1:6" x14ac:dyDescent="0.25">
      <c r="A65" s="618" t="s">
        <v>58</v>
      </c>
      <c r="B65" s="598"/>
      <c r="C65" s="825"/>
      <c r="D65" s="758">
        <v>222.17735320948188</v>
      </c>
      <c r="E65" s="759">
        <v>268.19658546962552</v>
      </c>
      <c r="F65" s="760">
        <v>331.21215032703071</v>
      </c>
    </row>
    <row r="66" spans="1:6" x14ac:dyDescent="0.25">
      <c r="A66" s="618" t="s">
        <v>59</v>
      </c>
      <c r="B66" s="598"/>
      <c r="C66" s="825"/>
      <c r="D66" s="758">
        <v>23533.822646790519</v>
      </c>
      <c r="E66" s="759">
        <v>28081.803414530375</v>
      </c>
      <c r="F66" s="760">
        <v>33686.787849672968</v>
      </c>
    </row>
    <row r="67" spans="1:6" x14ac:dyDescent="0.25">
      <c r="C67" s="825"/>
      <c r="D67" s="852"/>
      <c r="E67" s="848"/>
      <c r="F67" s="853"/>
    </row>
    <row r="68" spans="1:6" x14ac:dyDescent="0.25">
      <c r="A68" s="615" t="s">
        <v>53</v>
      </c>
      <c r="B68" s="616"/>
      <c r="C68" s="848"/>
      <c r="D68" s="850"/>
      <c r="E68" s="851"/>
      <c r="F68" s="832"/>
    </row>
    <row r="69" spans="1:6" x14ac:dyDescent="0.25">
      <c r="A69" s="618" t="s">
        <v>60</v>
      </c>
      <c r="B69" s="598"/>
      <c r="C69" s="848"/>
      <c r="D69" s="758">
        <v>4947</v>
      </c>
      <c r="E69" s="759">
        <v>3729</v>
      </c>
      <c r="F69" s="760">
        <v>5172</v>
      </c>
    </row>
    <row r="70" spans="1:6" collapsed="1" x14ac:dyDescent="0.25">
      <c r="A70" s="618"/>
      <c r="B70" s="598"/>
      <c r="C70" s="848"/>
      <c r="D70" s="854"/>
      <c r="E70" s="855"/>
      <c r="F70" s="856"/>
    </row>
    <row r="71" spans="1:6" x14ac:dyDescent="0.25">
      <c r="A71" s="618"/>
      <c r="B71" s="598"/>
      <c r="C71" s="848"/>
      <c r="D71" s="851"/>
      <c r="E71" s="851"/>
      <c r="F71" s="831"/>
    </row>
    <row r="72" spans="1:6" x14ac:dyDescent="0.25">
      <c r="A72" s="618"/>
      <c r="B72" s="598"/>
      <c r="C72" s="848"/>
      <c r="D72" s="851"/>
      <c r="E72" s="851"/>
      <c r="F72" s="831"/>
    </row>
    <row r="73" spans="1:6" x14ac:dyDescent="0.25">
      <c r="A73" s="596" t="s">
        <v>61</v>
      </c>
      <c r="B73" s="596"/>
      <c r="C73" s="848"/>
      <c r="D73" s="814">
        <v>2006</v>
      </c>
      <c r="E73" s="77">
        <v>2007</v>
      </c>
      <c r="F73" s="815">
        <v>2008</v>
      </c>
    </row>
    <row r="74" spans="1:6" x14ac:dyDescent="0.25">
      <c r="A74" s="618"/>
      <c r="B74" s="598"/>
      <c r="C74" s="848"/>
      <c r="D74" s="964" t="s">
        <v>62</v>
      </c>
      <c r="E74" s="965"/>
      <c r="F74" s="966"/>
    </row>
    <row r="75" spans="1:6" ht="13.8" thickBot="1" x14ac:dyDescent="0.3">
      <c r="A75" s="618" t="s">
        <v>63</v>
      </c>
      <c r="B75" s="598"/>
      <c r="C75" s="848"/>
      <c r="D75" s="761">
        <v>18927872.469999999</v>
      </c>
      <c r="E75" s="762">
        <v>24234061.212000001</v>
      </c>
      <c r="F75" s="763">
        <v>29871505.958270401</v>
      </c>
    </row>
    <row r="76" spans="1:6" ht="13.8" thickTop="1" x14ac:dyDescent="0.25"/>
    <row r="79" spans="1:6" ht="15.6" x14ac:dyDescent="0.3">
      <c r="A79" s="967" t="s">
        <v>64</v>
      </c>
      <c r="B79" s="968"/>
      <c r="C79" s="968"/>
      <c r="D79" s="969"/>
      <c r="E79" s="969"/>
      <c r="F79" s="970"/>
    </row>
    <row r="80" spans="1:6" x14ac:dyDescent="0.25">
      <c r="A80" s="610"/>
      <c r="B80" s="600"/>
      <c r="C80" s="600"/>
      <c r="D80" s="462"/>
      <c r="E80" s="462"/>
      <c r="F80" s="462"/>
    </row>
    <row r="81" spans="1:6" x14ac:dyDescent="0.25">
      <c r="A81" s="610"/>
      <c r="B81" s="600"/>
      <c r="C81" s="600"/>
      <c r="D81" s="619">
        <v>2006</v>
      </c>
      <c r="E81" s="620">
        <v>2007</v>
      </c>
      <c r="F81" s="621">
        <v>2008</v>
      </c>
    </row>
    <row r="82" spans="1:6" x14ac:dyDescent="0.25">
      <c r="A82" s="604" t="s">
        <v>37</v>
      </c>
      <c r="B82" s="605"/>
      <c r="C82" s="33" t="s">
        <v>7</v>
      </c>
      <c r="D82" s="964" t="s">
        <v>41</v>
      </c>
      <c r="E82" s="965"/>
      <c r="F82" s="966"/>
    </row>
    <row r="83" spans="1:6" x14ac:dyDescent="0.25">
      <c r="A83" s="622"/>
      <c r="B83" s="623"/>
      <c r="C83" s="99" t="s">
        <v>8</v>
      </c>
      <c r="D83" s="852"/>
      <c r="E83" s="848"/>
      <c r="F83" s="853"/>
    </row>
    <row r="84" spans="1:6" x14ac:dyDescent="0.25">
      <c r="A84" s="625" t="str">
        <f>'Data 2009-15 (Real $2008)'!A$154</f>
        <v>Remotely read interval meters &amp; transformers</v>
      </c>
      <c r="B84" s="626"/>
      <c r="C84" s="857">
        <f>'Data 2009-15 (Real $2008)'!C154</f>
        <v>15</v>
      </c>
      <c r="D84" s="758">
        <v>0</v>
      </c>
      <c r="E84" s="759">
        <v>0</v>
      </c>
      <c r="F84" s="760">
        <v>0</v>
      </c>
    </row>
    <row r="85" spans="1:6" x14ac:dyDescent="0.25">
      <c r="A85" s="461" t="s">
        <v>277</v>
      </c>
      <c r="C85" s="857">
        <f>'Data 2009-15 (Real $2008)'!C155</f>
        <v>7</v>
      </c>
      <c r="D85" s="758">
        <v>0</v>
      </c>
      <c r="E85" s="759">
        <v>3778690.47</v>
      </c>
      <c r="F85" s="760">
        <v>10033258.379999999</v>
      </c>
    </row>
    <row r="86" spans="1:6" x14ac:dyDescent="0.25">
      <c r="A86" s="461" t="s">
        <v>279</v>
      </c>
      <c r="C86" s="857">
        <f>'Data 2009-15 (Real $2008)'!C156</f>
        <v>7</v>
      </c>
      <c r="D86" s="758">
        <v>0</v>
      </c>
      <c r="E86" s="759">
        <v>0</v>
      </c>
      <c r="F86" s="760">
        <v>0</v>
      </c>
    </row>
    <row r="87" spans="1:6" x14ac:dyDescent="0.25">
      <c r="A87" s="625" t="s">
        <v>278</v>
      </c>
      <c r="B87" s="626"/>
      <c r="C87" s="858">
        <f>'Data 2009-15 (Real $2008)'!C157</f>
        <v>7</v>
      </c>
      <c r="D87" s="758">
        <v>0</v>
      </c>
      <c r="E87" s="759">
        <v>0</v>
      </c>
      <c r="F87" s="760">
        <v>0</v>
      </c>
    </row>
    <row r="88" spans="1:6" x14ac:dyDescent="0.25">
      <c r="A88" s="598" t="s">
        <v>45</v>
      </c>
      <c r="B88" s="598"/>
      <c r="C88" s="794"/>
      <c r="D88" s="859">
        <f>SUM(D84:D87)</f>
        <v>0</v>
      </c>
      <c r="E88" s="860">
        <f>SUM(E84:E87)</f>
        <v>3778690.47</v>
      </c>
      <c r="F88" s="861">
        <f>SUM(F84:F87)</f>
        <v>10033258.379999999</v>
      </c>
    </row>
    <row r="89" spans="1:6" x14ac:dyDescent="0.25">
      <c r="C89" s="825"/>
      <c r="D89" s="862"/>
      <c r="E89" s="862"/>
      <c r="F89" s="862"/>
    </row>
    <row r="90" spans="1:6" x14ac:dyDescent="0.25">
      <c r="C90" s="825"/>
      <c r="D90" s="862"/>
      <c r="E90" s="862"/>
      <c r="F90" s="862"/>
    </row>
    <row r="91" spans="1:6" x14ac:dyDescent="0.25">
      <c r="A91" s="628"/>
      <c r="B91" s="628"/>
      <c r="C91" s="794"/>
      <c r="D91" s="863">
        <v>2006</v>
      </c>
      <c r="E91" s="864">
        <v>2007</v>
      </c>
      <c r="F91" s="865">
        <v>2008</v>
      </c>
    </row>
    <row r="92" spans="1:6" x14ac:dyDescent="0.25">
      <c r="A92" s="628"/>
      <c r="B92" s="628"/>
      <c r="C92" s="308" t="s">
        <v>276</v>
      </c>
      <c r="D92" s="964" t="s">
        <v>41</v>
      </c>
      <c r="E92" s="965"/>
      <c r="F92" s="966"/>
    </row>
    <row r="93" spans="1:6" x14ac:dyDescent="0.25">
      <c r="A93" s="601" t="s">
        <v>47</v>
      </c>
      <c r="B93" s="602"/>
      <c r="C93" s="321" t="s">
        <v>48</v>
      </c>
      <c r="D93" s="862"/>
      <c r="E93" s="862"/>
      <c r="F93" s="866"/>
    </row>
    <row r="94" spans="1:6" x14ac:dyDescent="0.25">
      <c r="A94" s="461" t="str">
        <f>'Data 2009-15 (Real $2008)'!A$162</f>
        <v>Meters and transformers (Group 1) (Unit cost &lt; $1,000)</v>
      </c>
      <c r="C94" s="867">
        <f>'Data 2009-15 (Real $2008)'!C162</f>
        <v>0.375</v>
      </c>
      <c r="D94" s="868">
        <f>D84-D95</f>
        <v>0</v>
      </c>
      <c r="E94" s="788">
        <f>E84-E95</f>
        <v>0</v>
      </c>
      <c r="F94" s="869">
        <f>F84-F95</f>
        <v>0</v>
      </c>
    </row>
    <row r="95" spans="1:6" x14ac:dyDescent="0.25">
      <c r="A95" s="461" t="str">
        <f>'Data 2009-15 (Real $2008)'!A$163</f>
        <v>Meters and transformers (Group 2) (Unit cost =&gt; $1,000)</v>
      </c>
      <c r="C95" s="870">
        <f>'Data 2009-15 (Real $2008)'!C163</f>
        <v>0.06</v>
      </c>
      <c r="D95" s="758">
        <v>0</v>
      </c>
      <c r="E95" s="759">
        <v>0</v>
      </c>
      <c r="F95" s="760">
        <v>0</v>
      </c>
    </row>
    <row r="96" spans="1:6" x14ac:dyDescent="0.25">
      <c r="A96" s="461" t="str">
        <f>'Data 2009-15 (Real $2008)'!A$164</f>
        <v>IT</v>
      </c>
      <c r="C96" s="870">
        <f>'Data 2009-15 (Real $2008)'!C164</f>
        <v>0.4</v>
      </c>
      <c r="D96" s="868">
        <f t="shared" ref="D96:F98" si="1">D85</f>
        <v>0</v>
      </c>
      <c r="E96" s="788">
        <f t="shared" si="1"/>
        <v>3778690.47</v>
      </c>
      <c r="F96" s="869">
        <f t="shared" si="1"/>
        <v>10033258.379999999</v>
      </c>
    </row>
    <row r="97" spans="1:6" x14ac:dyDescent="0.25">
      <c r="A97" s="461" t="str">
        <f>'Data 2009-15 (Real $2008)'!A$165</f>
        <v>Communications</v>
      </c>
      <c r="C97" s="870">
        <f>'Data 2009-15 (Real $2008)'!C165</f>
        <v>0.21428571428571427</v>
      </c>
      <c r="D97" s="868">
        <f t="shared" si="1"/>
        <v>0</v>
      </c>
      <c r="E97" s="788">
        <f t="shared" si="1"/>
        <v>0</v>
      </c>
      <c r="F97" s="869">
        <f t="shared" si="1"/>
        <v>0</v>
      </c>
    </row>
    <row r="98" spans="1:6" x14ac:dyDescent="0.25">
      <c r="A98" s="597" t="str">
        <f>'Data 2009-15 (Real $2008)'!A$166</f>
        <v>Other</v>
      </c>
      <c r="B98" s="629"/>
      <c r="C98" s="871">
        <f>'Data 2009-15 (Real $2008)'!C166</f>
        <v>0.1764705882352941</v>
      </c>
      <c r="D98" s="868">
        <f t="shared" si="1"/>
        <v>0</v>
      </c>
      <c r="E98" s="788">
        <f t="shared" si="1"/>
        <v>0</v>
      </c>
      <c r="F98" s="869">
        <f t="shared" si="1"/>
        <v>0</v>
      </c>
    </row>
    <row r="99" spans="1:6" ht="13.8" thickBot="1" x14ac:dyDescent="0.3">
      <c r="A99" s="598" t="s">
        <v>45</v>
      </c>
      <c r="B99" s="598"/>
      <c r="C99" s="794"/>
      <c r="D99" s="872">
        <f>SUM(D93:D98)</f>
        <v>0</v>
      </c>
      <c r="E99" s="873">
        <f>SUM(E93:E98)</f>
        <v>3778690.47</v>
      </c>
      <c r="F99" s="874">
        <f>SUM(F93:F98)</f>
        <v>10033258.379999999</v>
      </c>
    </row>
    <row r="100" spans="1:6" ht="13.8" thickTop="1" x14ac:dyDescent="0.25">
      <c r="A100" s="630"/>
      <c r="B100" s="593"/>
      <c r="C100" s="848"/>
      <c r="D100" s="862"/>
      <c r="E100" s="862"/>
      <c r="F100" s="862"/>
    </row>
    <row r="101" spans="1:6" x14ac:dyDescent="0.25">
      <c r="A101" s="630"/>
      <c r="B101" s="593"/>
      <c r="C101" s="848"/>
      <c r="D101" s="862"/>
      <c r="E101" s="862"/>
      <c r="F101" s="862"/>
    </row>
    <row r="102" spans="1:6" x14ac:dyDescent="0.25">
      <c r="A102" s="610"/>
      <c r="B102" s="600"/>
      <c r="C102" s="848"/>
      <c r="D102" s="863">
        <v>2006</v>
      </c>
      <c r="E102" s="864">
        <v>2007</v>
      </c>
      <c r="F102" s="865">
        <v>2008</v>
      </c>
    </row>
    <row r="103" spans="1:6" x14ac:dyDescent="0.25">
      <c r="A103" s="596" t="s">
        <v>1</v>
      </c>
      <c r="B103" s="596"/>
      <c r="C103" s="848"/>
      <c r="D103" s="964" t="s">
        <v>73</v>
      </c>
      <c r="E103" s="965"/>
      <c r="F103" s="966"/>
    </row>
    <row r="104" spans="1:6" x14ac:dyDescent="0.25">
      <c r="A104" s="610"/>
      <c r="B104" s="600"/>
      <c r="C104" s="848"/>
      <c r="D104" s="852"/>
      <c r="E104" s="848"/>
      <c r="F104" s="853"/>
    </row>
    <row r="105" spans="1:6" x14ac:dyDescent="0.25">
      <c r="A105" s="630" t="s">
        <v>65</v>
      </c>
      <c r="B105" s="593"/>
      <c r="C105" s="848"/>
      <c r="D105" s="758">
        <v>0</v>
      </c>
      <c r="E105" s="759">
        <v>0</v>
      </c>
      <c r="F105" s="760">
        <v>0</v>
      </c>
    </row>
    <row r="106" spans="1:6" x14ac:dyDescent="0.25">
      <c r="A106" s="630" t="s">
        <v>66</v>
      </c>
      <c r="B106" s="593"/>
      <c r="C106" s="875"/>
      <c r="D106" s="758">
        <v>0</v>
      </c>
      <c r="E106" s="759">
        <v>1559372</v>
      </c>
      <c r="F106" s="760">
        <v>77435.960000000006</v>
      </c>
    </row>
    <row r="107" spans="1:6" x14ac:dyDescent="0.25">
      <c r="A107" s="630" t="s">
        <v>67</v>
      </c>
      <c r="B107" s="593"/>
      <c r="C107" s="875"/>
      <c r="D107" s="758">
        <v>329755.78999999998</v>
      </c>
      <c r="E107" s="759">
        <v>468319.97</v>
      </c>
      <c r="F107" s="760">
        <v>1418069.36</v>
      </c>
    </row>
    <row r="108" spans="1:6" x14ac:dyDescent="0.25">
      <c r="A108" s="630" t="s">
        <v>68</v>
      </c>
      <c r="B108" s="593"/>
      <c r="C108" s="875"/>
      <c r="D108" s="758">
        <v>0</v>
      </c>
      <c r="E108" s="759">
        <v>0</v>
      </c>
      <c r="F108" s="760">
        <v>0</v>
      </c>
    </row>
    <row r="109" spans="1:6" x14ac:dyDescent="0.25">
      <c r="A109" s="630" t="s">
        <v>69</v>
      </c>
      <c r="B109" s="593"/>
      <c r="C109" s="875"/>
      <c r="D109" s="758">
        <v>697942.26</v>
      </c>
      <c r="E109" s="759">
        <v>775965.75</v>
      </c>
      <c r="F109" s="760">
        <v>4021295.64</v>
      </c>
    </row>
    <row r="110" spans="1:6" x14ac:dyDescent="0.25">
      <c r="A110" s="630" t="s">
        <v>70</v>
      </c>
      <c r="B110" s="593"/>
      <c r="C110" s="875"/>
      <c r="D110" s="758">
        <v>0</v>
      </c>
      <c r="E110" s="759">
        <v>0</v>
      </c>
      <c r="F110" s="760">
        <v>0</v>
      </c>
    </row>
    <row r="111" spans="1:6" x14ac:dyDescent="0.25">
      <c r="A111" s="630" t="s">
        <v>71</v>
      </c>
      <c r="B111" s="593"/>
      <c r="C111" s="875"/>
      <c r="D111" s="758">
        <v>0</v>
      </c>
      <c r="E111" s="759">
        <v>556621</v>
      </c>
      <c r="F111" s="760">
        <v>654359.875</v>
      </c>
    </row>
    <row r="112" spans="1:6" x14ac:dyDescent="0.25">
      <c r="A112" s="630" t="s">
        <v>72</v>
      </c>
      <c r="B112" s="593"/>
      <c r="C112" s="875"/>
      <c r="D112" s="758">
        <v>0</v>
      </c>
      <c r="E112" s="759">
        <v>0</v>
      </c>
      <c r="F112" s="760">
        <v>1837075.9995795637</v>
      </c>
    </row>
    <row r="113" spans="1:14" x14ac:dyDescent="0.25">
      <c r="A113" s="630" t="s">
        <v>272</v>
      </c>
      <c r="B113" s="593"/>
      <c r="C113" s="875"/>
      <c r="D113" s="758">
        <v>0</v>
      </c>
      <c r="E113" s="759">
        <v>0</v>
      </c>
      <c r="F113" s="760">
        <v>0</v>
      </c>
    </row>
    <row r="114" spans="1:14" x14ac:dyDescent="0.25">
      <c r="A114" s="630" t="s">
        <v>273</v>
      </c>
      <c r="B114" s="593"/>
      <c r="C114" s="848"/>
      <c r="D114" s="758">
        <v>0</v>
      </c>
      <c r="E114" s="759">
        <v>0</v>
      </c>
      <c r="F114" s="760">
        <v>0</v>
      </c>
    </row>
    <row r="115" spans="1:14" x14ac:dyDescent="0.25">
      <c r="A115" s="598" t="s">
        <v>45</v>
      </c>
      <c r="C115" s="875"/>
      <c r="D115" s="859">
        <f>SUM(D105:D114)</f>
        <v>1027698.05</v>
      </c>
      <c r="E115" s="860">
        <f>SUM(E105:E114)</f>
        <v>3360278.7199999997</v>
      </c>
      <c r="F115" s="861">
        <f>SUM(F105:F112)</f>
        <v>8008236.8345795637</v>
      </c>
    </row>
    <row r="116" spans="1:14" s="462" customFormat="1" x14ac:dyDescent="0.25">
      <c r="A116" s="593"/>
      <c r="B116" s="593"/>
      <c r="C116" s="600"/>
      <c r="D116" s="627"/>
      <c r="E116" s="627"/>
      <c r="F116" s="627"/>
    </row>
    <row r="117" spans="1:14" s="462" customFormat="1" x14ac:dyDescent="0.25">
      <c r="A117" s="593"/>
      <c r="B117" s="593"/>
      <c r="C117" s="600"/>
      <c r="D117" s="627"/>
      <c r="E117" s="627"/>
      <c r="F117" s="627"/>
    </row>
    <row r="118" spans="1:14" s="462" customFormat="1" ht="13.8" thickBot="1" x14ac:dyDescent="0.3">
      <c r="A118" s="593" t="s">
        <v>111</v>
      </c>
      <c r="B118" s="593"/>
      <c r="C118" s="600"/>
      <c r="D118" s="631">
        <f>SUM(D88,D115)</f>
        <v>1027698.05</v>
      </c>
      <c r="E118" s="631">
        <f>SUM(E88,E115)</f>
        <v>7138969.1899999995</v>
      </c>
      <c r="F118" s="631">
        <f>SUM(F88,F115)</f>
        <v>18041495.214579564</v>
      </c>
    </row>
    <row r="119" spans="1:14" s="462" customFormat="1" ht="13.8" thickTop="1" x14ac:dyDescent="0.25">
      <c r="A119" s="593"/>
      <c r="B119" s="593"/>
      <c r="C119" s="600"/>
      <c r="D119" s="627"/>
      <c r="E119" s="627"/>
      <c r="F119" s="627"/>
    </row>
    <row r="120" spans="1:14" s="462" customFormat="1" x14ac:dyDescent="0.25">
      <c r="A120" s="593"/>
      <c r="B120" s="593"/>
      <c r="C120" s="600"/>
      <c r="D120" s="627"/>
      <c r="E120" s="627"/>
      <c r="F120" s="627"/>
    </row>
    <row r="121" spans="1:14" ht="13.8" thickBot="1" x14ac:dyDescent="0.3">
      <c r="A121" s="632"/>
      <c r="B121" s="633"/>
      <c r="C121" s="632"/>
      <c r="D121" s="632"/>
      <c r="E121" s="632"/>
      <c r="F121" s="632"/>
      <c r="G121" s="632"/>
      <c r="H121" s="632"/>
      <c r="I121" s="632"/>
      <c r="J121" s="632"/>
      <c r="K121" s="632"/>
      <c r="L121" s="632"/>
      <c r="M121" s="632"/>
      <c r="N121" s="632"/>
    </row>
    <row r="124" spans="1:14" ht="15.6" x14ac:dyDescent="0.3">
      <c r="A124" s="634" t="s">
        <v>39</v>
      </c>
      <c r="B124" s="635"/>
    </row>
    <row r="126" spans="1:14" x14ac:dyDescent="0.25">
      <c r="A126" s="453" t="s">
        <v>78</v>
      </c>
      <c r="B126" s="453"/>
      <c r="C126" s="636"/>
    </row>
    <row r="127" spans="1:14" x14ac:dyDescent="0.25">
      <c r="A127" s="453"/>
      <c r="B127" s="453"/>
      <c r="C127" s="636"/>
    </row>
    <row r="128" spans="1:14" x14ac:dyDescent="0.25">
      <c r="A128" s="461" t="s">
        <v>79</v>
      </c>
      <c r="C128" s="637">
        <v>2.64E-2</v>
      </c>
    </row>
    <row r="129" spans="1:6" x14ac:dyDescent="0.25">
      <c r="A129" s="461" t="s">
        <v>80</v>
      </c>
      <c r="C129" s="638">
        <v>1.4250000000000001E-2</v>
      </c>
    </row>
    <row r="130" spans="1:6" x14ac:dyDescent="0.25">
      <c r="A130" s="461" t="s">
        <v>13</v>
      </c>
      <c r="C130" s="639">
        <v>0.06</v>
      </c>
    </row>
    <row r="131" spans="1:6" x14ac:dyDescent="0.25">
      <c r="A131" s="461" t="s">
        <v>14</v>
      </c>
      <c r="C131" s="640">
        <v>1</v>
      </c>
    </row>
    <row r="132" spans="1:6" x14ac:dyDescent="0.25">
      <c r="A132" s="461" t="s">
        <v>17</v>
      </c>
      <c r="C132" s="640">
        <v>0.5</v>
      </c>
    </row>
    <row r="133" spans="1:6" x14ac:dyDescent="0.25">
      <c r="A133" s="461" t="s">
        <v>15</v>
      </c>
      <c r="C133" s="641">
        <v>0.6</v>
      </c>
    </row>
    <row r="134" spans="1:6" x14ac:dyDescent="0.25">
      <c r="A134" s="461" t="s">
        <v>16</v>
      </c>
      <c r="C134" s="642">
        <v>2.5600000000000001E-2</v>
      </c>
    </row>
    <row r="135" spans="1:6" x14ac:dyDescent="0.25">
      <c r="C135" s="643"/>
    </row>
    <row r="136" spans="1:6" x14ac:dyDescent="0.25">
      <c r="A136" s="461" t="s">
        <v>81</v>
      </c>
      <c r="C136" s="644">
        <f>C128+C131*C130</f>
        <v>8.6400000000000005E-2</v>
      </c>
    </row>
    <row r="137" spans="1:6" x14ac:dyDescent="0.25">
      <c r="A137" s="461" t="s">
        <v>82</v>
      </c>
      <c r="C137" s="312">
        <f>(1+C136)*(1+C134)-1</f>
        <v>0.11421184000000006</v>
      </c>
    </row>
    <row r="138" spans="1:6" x14ac:dyDescent="0.25">
      <c r="A138" s="461" t="s">
        <v>83</v>
      </c>
      <c r="C138" s="645">
        <f>C128+C129</f>
        <v>4.0649999999999999E-2</v>
      </c>
    </row>
    <row r="139" spans="1:6" x14ac:dyDescent="0.25">
      <c r="A139" s="461" t="s">
        <v>84</v>
      </c>
      <c r="C139" s="646">
        <f>(1+C138)*(1+C134)-1</f>
        <v>6.7290640000000179E-2</v>
      </c>
    </row>
    <row r="140" spans="1:6" x14ac:dyDescent="0.25">
      <c r="C140" s="608"/>
    </row>
    <row r="141" spans="1:6" x14ac:dyDescent="0.25">
      <c r="A141" s="461" t="s">
        <v>85</v>
      </c>
      <c r="C141" s="647">
        <f>ROUND((C136*(1-C133))+(C138*C133),3)</f>
        <v>5.8999999999999997E-2</v>
      </c>
    </row>
    <row r="144" spans="1:6" x14ac:dyDescent="0.25">
      <c r="A144" s="453" t="s">
        <v>256</v>
      </c>
      <c r="B144" s="453"/>
      <c r="C144" s="962" t="s">
        <v>36</v>
      </c>
      <c r="D144" s="963"/>
      <c r="F144" s="648" t="s">
        <v>75</v>
      </c>
    </row>
    <row r="145" spans="1:9" x14ac:dyDescent="0.25">
      <c r="A145" s="453"/>
      <c r="B145" s="453"/>
      <c r="C145" s="649">
        <v>37529</v>
      </c>
      <c r="D145" s="650">
        <v>138.5</v>
      </c>
      <c r="F145" s="651"/>
    </row>
    <row r="146" spans="1:9" x14ac:dyDescent="0.25">
      <c r="C146" s="652">
        <v>37894</v>
      </c>
      <c r="D146" s="653">
        <v>142.1</v>
      </c>
      <c r="F146" s="654">
        <f t="shared" ref="F146:F151" si="2">D146/D145-1</f>
        <v>2.5992779783393427E-2</v>
      </c>
    </row>
    <row r="147" spans="1:9" x14ac:dyDescent="0.25">
      <c r="C147" s="652">
        <v>38260</v>
      </c>
      <c r="D147" s="653">
        <v>145.4</v>
      </c>
      <c r="F147" s="654">
        <f t="shared" si="2"/>
        <v>2.3223082336382816E-2</v>
      </c>
      <c r="I147" s="655"/>
    </row>
    <row r="148" spans="1:9" x14ac:dyDescent="0.25">
      <c r="C148" s="652">
        <v>38625</v>
      </c>
      <c r="D148" s="653">
        <v>149.80000000000001</v>
      </c>
      <c r="F148" s="654">
        <f t="shared" si="2"/>
        <v>3.0261348005502064E-2</v>
      </c>
    </row>
    <row r="149" spans="1:9" x14ac:dyDescent="0.25">
      <c r="C149" s="652">
        <v>38990</v>
      </c>
      <c r="D149" s="653">
        <v>155.69999999999999</v>
      </c>
      <c r="F149" s="654">
        <f t="shared" si="2"/>
        <v>3.9385847797062556E-2</v>
      </c>
    </row>
    <row r="150" spans="1:9" x14ac:dyDescent="0.25">
      <c r="C150" s="652">
        <v>39355</v>
      </c>
      <c r="D150" s="653">
        <v>158.6</v>
      </c>
      <c r="F150" s="654">
        <f t="shared" si="2"/>
        <v>1.862556197816323E-2</v>
      </c>
    </row>
    <row r="151" spans="1:9" x14ac:dyDescent="0.25">
      <c r="C151" s="656">
        <v>39721</v>
      </c>
      <c r="D151" s="657">
        <v>166.5</v>
      </c>
      <c r="F151" s="654">
        <f t="shared" si="2"/>
        <v>4.9810844892812067E-2</v>
      </c>
    </row>
    <row r="152" spans="1:9" x14ac:dyDescent="0.25">
      <c r="A152" s="658"/>
      <c r="B152" s="658"/>
    </row>
    <row r="153" spans="1:9" x14ac:dyDescent="0.25">
      <c r="A153" s="658"/>
      <c r="B153" s="595">
        <v>2004</v>
      </c>
      <c r="C153" s="595">
        <f>B153+1</f>
        <v>2005</v>
      </c>
      <c r="D153" s="595">
        <f>C153+1</f>
        <v>2006</v>
      </c>
      <c r="E153" s="595">
        <f>D153+1</f>
        <v>2007</v>
      </c>
      <c r="F153" s="595">
        <f>E153+1</f>
        <v>2008</v>
      </c>
    </row>
    <row r="154" spans="1:9" x14ac:dyDescent="0.25">
      <c r="A154" s="658"/>
      <c r="B154" s="659"/>
      <c r="C154" s="659"/>
      <c r="D154" s="659"/>
      <c r="E154" s="659"/>
    </row>
    <row r="155" spans="1:9" x14ac:dyDescent="0.25">
      <c r="A155" s="660" t="s">
        <v>76</v>
      </c>
      <c r="B155" s="661">
        <f>F146</f>
        <v>2.5992779783393427E-2</v>
      </c>
      <c r="C155" s="661">
        <f>F147</f>
        <v>2.3223082336382816E-2</v>
      </c>
      <c r="D155" s="661">
        <f>F148</f>
        <v>3.0261348005502064E-2</v>
      </c>
      <c r="E155" s="661">
        <f>F149</f>
        <v>3.9385847797062556E-2</v>
      </c>
      <c r="F155" s="661">
        <f>F150</f>
        <v>1.862556197816323E-2</v>
      </c>
    </row>
    <row r="156" spans="1:9" x14ac:dyDescent="0.25">
      <c r="A156" s="461" t="s">
        <v>77</v>
      </c>
      <c r="B156" s="662">
        <f>C156*(1+C155)</f>
        <v>1.1161154116819139</v>
      </c>
      <c r="C156" s="663">
        <f>D156*(1+D155)</f>
        <v>1.090784044016506</v>
      </c>
      <c r="D156" s="663">
        <f>E156*(1+E155)</f>
        <v>1.0587449933244324</v>
      </c>
      <c r="E156" s="663">
        <f>F156*(1+F155)</f>
        <v>1.0186255619781632</v>
      </c>
      <c r="F156" s="663">
        <v>1</v>
      </c>
    </row>
    <row r="159" spans="1:9" x14ac:dyDescent="0.25">
      <c r="A159" s="604" t="s">
        <v>275</v>
      </c>
      <c r="B159" s="605"/>
      <c r="C159" s="594" t="s">
        <v>7</v>
      </c>
    </row>
    <row r="160" spans="1:9" x14ac:dyDescent="0.25">
      <c r="A160" s="622"/>
      <c r="B160" s="623"/>
      <c r="C160" s="624" t="s">
        <v>8</v>
      </c>
    </row>
    <row r="161" spans="1:3" x14ac:dyDescent="0.25">
      <c r="A161" s="465" t="s">
        <v>42</v>
      </c>
      <c r="C161" s="664">
        <f>'IMRO Decision 2006-10'!D190</f>
        <v>35</v>
      </c>
    </row>
    <row r="162" spans="1:3" x14ac:dyDescent="0.25">
      <c r="A162" s="461" t="s">
        <v>260</v>
      </c>
      <c r="C162" s="665">
        <f>'IMRO Decision 2006-10'!D191</f>
        <v>10</v>
      </c>
    </row>
    <row r="163" spans="1:3" x14ac:dyDescent="0.25">
      <c r="A163" s="465" t="s">
        <v>43</v>
      </c>
      <c r="C163" s="665">
        <f>'IMRO Decision 2006-10'!D192</f>
        <v>5</v>
      </c>
    </row>
    <row r="164" spans="1:3" x14ac:dyDescent="0.25">
      <c r="A164" s="465" t="s">
        <v>44</v>
      </c>
      <c r="C164" s="666">
        <f>'IMRO Decision 2006-10'!D193</f>
        <v>5</v>
      </c>
    </row>
    <row r="167" spans="1:3" x14ac:dyDescent="0.25">
      <c r="A167" s="604" t="s">
        <v>92</v>
      </c>
      <c r="B167" s="605"/>
      <c r="C167" s="667"/>
    </row>
    <row r="168" spans="1:3" x14ac:dyDescent="0.25">
      <c r="A168" s="605"/>
      <c r="B168" s="605"/>
      <c r="C168" s="667"/>
    </row>
    <row r="169" spans="1:3" x14ac:dyDescent="0.25">
      <c r="A169" s="667" t="s">
        <v>88</v>
      </c>
      <c r="B169" s="668"/>
      <c r="C169" s="669">
        <v>0.3</v>
      </c>
    </row>
    <row r="170" spans="1:3" x14ac:dyDescent="0.25">
      <c r="A170" s="668" t="s">
        <v>17</v>
      </c>
      <c r="B170" s="668"/>
      <c r="C170" s="670">
        <f>C132</f>
        <v>0.5</v>
      </c>
    </row>
    <row r="171" spans="1:3" x14ac:dyDescent="0.25">
      <c r="A171" s="667" t="s">
        <v>15</v>
      </c>
      <c r="B171" s="668"/>
      <c r="C171" s="671">
        <f>C133</f>
        <v>0.6</v>
      </c>
    </row>
    <row r="174" spans="1:3" x14ac:dyDescent="0.25">
      <c r="A174" s="601" t="s">
        <v>89</v>
      </c>
      <c r="B174" s="602"/>
    </row>
    <row r="175" spans="1:3" x14ac:dyDescent="0.25">
      <c r="A175" s="660" t="s">
        <v>276</v>
      </c>
      <c r="B175" s="672"/>
    </row>
    <row r="176" spans="1:3" x14ac:dyDescent="0.25">
      <c r="A176" s="461" t="s">
        <v>357</v>
      </c>
      <c r="C176" s="673">
        <v>0.375</v>
      </c>
    </row>
    <row r="177" spans="1:8" x14ac:dyDescent="0.25">
      <c r="A177" s="461" t="s">
        <v>356</v>
      </c>
      <c r="C177" s="674">
        <v>0.06</v>
      </c>
    </row>
    <row r="178" spans="1:8" x14ac:dyDescent="0.25">
      <c r="A178" s="461" t="s">
        <v>277</v>
      </c>
      <c r="C178" s="674">
        <v>0.4</v>
      </c>
    </row>
    <row r="179" spans="1:8" x14ac:dyDescent="0.25">
      <c r="A179" s="597" t="s">
        <v>278</v>
      </c>
      <c r="B179" s="629"/>
      <c r="C179" s="675">
        <v>0.1764705882352941</v>
      </c>
    </row>
    <row r="182" spans="1:8" x14ac:dyDescent="0.25">
      <c r="A182" s="604" t="s">
        <v>93</v>
      </c>
      <c r="B182" s="605"/>
    </row>
    <row r="183" spans="1:8" x14ac:dyDescent="0.25">
      <c r="D183" s="595">
        <v>2006</v>
      </c>
      <c r="E183" s="595">
        <v>2007</v>
      </c>
      <c r="F183" s="595">
        <v>2008</v>
      </c>
      <c r="G183" s="595">
        <v>2009</v>
      </c>
      <c r="H183" s="595">
        <v>2010</v>
      </c>
    </row>
    <row r="184" spans="1:8" x14ac:dyDescent="0.25">
      <c r="A184" s="465" t="s">
        <v>366</v>
      </c>
      <c r="D184" s="676">
        <f>'IMRO Decision 2006-10'!D41*10^6</f>
        <v>-1975583.969366113</v>
      </c>
      <c r="E184" s="676">
        <f>'IMRO Decision 2006-10'!E41*10^6</f>
        <v>-2483377.9553463948</v>
      </c>
      <c r="F184" s="676">
        <f>'IMRO Decision 2006-10'!F41*10^6</f>
        <v>-6580370.5243212422</v>
      </c>
      <c r="G184" s="676">
        <f>'IMRO Decision 2006-10'!G41*10^6</f>
        <v>-9984425.5362499729</v>
      </c>
      <c r="H184" s="676">
        <f>'IMRO Decision 2006-10'!H41*10^6</f>
        <v>-9720213.2625060007</v>
      </c>
    </row>
    <row r="185" spans="1:8" x14ac:dyDescent="0.25">
      <c r="A185" s="461" t="s">
        <v>147</v>
      </c>
      <c r="D185" s="677">
        <f>'IMRO Decision 2006-10'!D71</f>
        <v>1.0510983425414364</v>
      </c>
      <c r="E185" s="677">
        <f>'IMRO Decision 2006-10'!E71</f>
        <v>1.0780064601104973</v>
      </c>
      <c r="F185" s="677">
        <f>'IMRO Decision 2006-10'!F71</f>
        <v>1.1056034254893261</v>
      </c>
      <c r="G185" s="677">
        <f>'IMRO Decision 2006-10'!G71</f>
        <v>1.1339068731818529</v>
      </c>
      <c r="H185" s="677">
        <f>'IMRO Decision 2006-10'!H71</f>
        <v>1.1629348891353084</v>
      </c>
    </row>
    <row r="187" spans="1:8" x14ac:dyDescent="0.25">
      <c r="A187" s="89" t="s">
        <v>94</v>
      </c>
      <c r="B187" s="453"/>
    </row>
    <row r="188" spans="1:8" x14ac:dyDescent="0.25">
      <c r="A188" s="613" t="s">
        <v>98</v>
      </c>
      <c r="B188" s="614"/>
      <c r="D188" s="595">
        <v>2006</v>
      </c>
      <c r="E188" s="595">
        <v>2007</v>
      </c>
      <c r="F188" s="595">
        <v>2008</v>
      </c>
    </row>
    <row r="189" spans="1:8" x14ac:dyDescent="0.25">
      <c r="A189" s="615" t="s">
        <v>264</v>
      </c>
      <c r="B189" s="616"/>
      <c r="D189" s="678"/>
      <c r="E189" s="678"/>
      <c r="F189" s="678"/>
    </row>
    <row r="190" spans="1:8" x14ac:dyDescent="0.25">
      <c r="A190" s="618" t="s">
        <v>267</v>
      </c>
      <c r="B190" s="598"/>
      <c r="D190" s="629">
        <f>D205*D218</f>
        <v>1226000.0000000002</v>
      </c>
      <c r="E190" s="629">
        <f>E205*E218</f>
        <v>1245000.0000000005</v>
      </c>
      <c r="F190" s="629">
        <f>F205*F218</f>
        <v>1228000</v>
      </c>
    </row>
    <row r="191" spans="1:8" x14ac:dyDescent="0.25">
      <c r="A191" s="618" t="s">
        <v>266</v>
      </c>
      <c r="B191" s="598"/>
      <c r="D191" s="629">
        <f>((D208*12+D210)*D222+(D208*4+D210)*D223)+((D209*12+D211)*D224+(D209*4+D211)*D225)</f>
        <v>8217758.4121904792</v>
      </c>
      <c r="E191" s="629">
        <f>((E208*12+E210)*E222+(E208*4+E210)*E223)+((E209*12+E211)*E224+(E209*4+E211)*E225)</f>
        <v>8491098.615040686</v>
      </c>
      <c r="F191" s="629">
        <f>((F208*12+F210)*F222+(F208*4+F210)*F223)+((F209*12+F211)*F224+(F209*4+F211)*F225)</f>
        <v>8814369.2569719814</v>
      </c>
    </row>
    <row r="192" spans="1:8" x14ac:dyDescent="0.25">
      <c r="A192" s="461" t="s">
        <v>265</v>
      </c>
      <c r="D192" s="629">
        <f>D213*D228</f>
        <v>524074.84200810641</v>
      </c>
      <c r="E192" s="629">
        <f>E213*E228</f>
        <v>303586.41847367201</v>
      </c>
      <c r="F192" s="629">
        <f>F213*F228</f>
        <v>1867457.5643420727</v>
      </c>
    </row>
    <row r="193" spans="1:6" x14ac:dyDescent="0.25">
      <c r="A193" s="618" t="s">
        <v>104</v>
      </c>
      <c r="B193" s="598"/>
      <c r="D193" s="679">
        <f>SUM(D190:D192)</f>
        <v>9967833.2541985866</v>
      </c>
      <c r="E193" s="679">
        <f>SUM(E190:E192)</f>
        <v>10039685.033514358</v>
      </c>
      <c r="F193" s="679">
        <f>SUM(F190:F192)</f>
        <v>11909826.821314054</v>
      </c>
    </row>
    <row r="194" spans="1:6" x14ac:dyDescent="0.25">
      <c r="A194" s="618"/>
      <c r="B194" s="598"/>
      <c r="D194" s="597"/>
      <c r="E194" s="597"/>
      <c r="F194" s="597"/>
    </row>
    <row r="195" spans="1:6" x14ac:dyDescent="0.25">
      <c r="A195" s="615" t="s">
        <v>105</v>
      </c>
      <c r="B195" s="616"/>
      <c r="D195" s="597"/>
      <c r="E195" s="597"/>
      <c r="F195" s="597"/>
    </row>
    <row r="196" spans="1:6" x14ac:dyDescent="0.25">
      <c r="A196" s="461" t="s">
        <v>109</v>
      </c>
      <c r="D196" s="676">
        <f>'IMRO Decision 2006-10'!D105*10^3</f>
        <v>420000</v>
      </c>
      <c r="E196" s="676">
        <f>'IMRO Decision 2006-10'!E105*10^3</f>
        <v>420000</v>
      </c>
      <c r="F196" s="676">
        <f>'IMRO Decision 2006-10'!F105*10^3</f>
        <v>420000</v>
      </c>
    </row>
    <row r="197" spans="1:6" s="465" customFormat="1" x14ac:dyDescent="0.25">
      <c r="A197" s="618" t="s">
        <v>108</v>
      </c>
      <c r="B197" s="598"/>
      <c r="D197" s="676">
        <f>'IMRO Decision 2006-10'!D111*10^3</f>
        <v>6244406.5512591293</v>
      </c>
      <c r="E197" s="676">
        <f>'IMRO Decision 2006-10'!E111*10^3</f>
        <v>6365762.3580535455</v>
      </c>
      <c r="F197" s="676">
        <f>'IMRO Decision 2006-10'!F111*10^3</f>
        <v>6365762.3580535455</v>
      </c>
    </row>
    <row r="198" spans="1:6" s="465" customFormat="1" x14ac:dyDescent="0.25">
      <c r="A198" s="618" t="s">
        <v>106</v>
      </c>
      <c r="B198" s="598"/>
      <c r="D198" s="609">
        <f>SUM(D196:D197)</f>
        <v>6664406.5512591293</v>
      </c>
      <c r="E198" s="609">
        <f>SUM(E196:E197)</f>
        <v>6785762.3580535455</v>
      </c>
      <c r="F198" s="609">
        <f>SUM(F196:F197)</f>
        <v>6785762.3580535455</v>
      </c>
    </row>
    <row r="199" spans="1:6" s="465" customFormat="1" x14ac:dyDescent="0.25">
      <c r="A199" s="598"/>
      <c r="B199" s="598"/>
      <c r="D199" s="629"/>
      <c r="E199" s="629"/>
      <c r="F199" s="629"/>
    </row>
    <row r="200" spans="1:6" s="465" customFormat="1" ht="13.8" thickBot="1" x14ac:dyDescent="0.3">
      <c r="A200" s="618" t="s">
        <v>107</v>
      </c>
      <c r="B200" s="598"/>
      <c r="C200" s="461"/>
      <c r="D200" s="599">
        <f>SUM(D193,D198)</f>
        <v>16632239.805457715</v>
      </c>
      <c r="E200" s="599">
        <f>SUM(E193,E198)</f>
        <v>16825447.391567905</v>
      </c>
      <c r="F200" s="599">
        <f>SUM(F193,F198)</f>
        <v>18695589.179367598</v>
      </c>
    </row>
    <row r="201" spans="1:6" s="465" customFormat="1" ht="13.8" thickTop="1" x14ac:dyDescent="0.25">
      <c r="A201" s="680" t="s">
        <v>0</v>
      </c>
      <c r="B201" s="681"/>
      <c r="C201" s="682">
        <f>SUM(D201:F201)</f>
        <v>0</v>
      </c>
      <c r="D201" s="682">
        <f>IF(ABS('IMRO Decision 2006-10'!D114*10^3-D200)&lt;0.001,0,ABS('IMRO Decision 2006-10'!D114*10^3-D200))</f>
        <v>0</v>
      </c>
      <c r="E201" s="682">
        <f>IF(ABS('IMRO Decision 2006-10'!E114*10^3-E200)&lt;0.001,0,ABS('IMRO Decision 2006-10'!E114*10^3-E200))</f>
        <v>0</v>
      </c>
      <c r="F201" s="682">
        <f>IF(ABS('IMRO Decision 2006-10'!F114*10^3-F200)&lt;0.001,0,ABS('IMRO Decision 2006-10'!F114*10^3-F200))</f>
        <v>0</v>
      </c>
    </row>
    <row r="202" spans="1:6" s="465" customFormat="1" x14ac:dyDescent="0.25">
      <c r="A202" s="598"/>
      <c r="B202" s="598"/>
      <c r="D202" s="629"/>
      <c r="E202" s="629"/>
      <c r="F202" s="629"/>
    </row>
    <row r="203" spans="1:6" s="465" customFormat="1" x14ac:dyDescent="0.25">
      <c r="A203" s="598"/>
      <c r="B203" s="598"/>
      <c r="D203" s="629"/>
      <c r="E203" s="629"/>
      <c r="F203" s="629"/>
    </row>
    <row r="204" spans="1:6" x14ac:dyDescent="0.25">
      <c r="A204" s="601" t="s">
        <v>96</v>
      </c>
      <c r="B204" s="602"/>
      <c r="D204" s="595">
        <v>2006</v>
      </c>
      <c r="E204" s="595">
        <v>2007</v>
      </c>
      <c r="F204" s="595">
        <v>2008</v>
      </c>
    </row>
    <row r="205" spans="1:6" x14ac:dyDescent="0.25">
      <c r="A205" s="618" t="s">
        <v>97</v>
      </c>
      <c r="B205" s="598"/>
      <c r="D205" s="683">
        <f>'IMRO Decision 2006-10'!D349</f>
        <v>1.640241300098602</v>
      </c>
      <c r="E205" s="683">
        <f>'IMRO Decision 2006-10'!E349</f>
        <v>1.6395822818441947</v>
      </c>
      <c r="F205" s="683">
        <f>'IMRO Decision 2006-10'!F349</f>
        <v>1.6405941226017764</v>
      </c>
    </row>
    <row r="206" spans="1:6" s="465" customFormat="1" x14ac:dyDescent="0.25">
      <c r="A206" s="618"/>
      <c r="B206" s="598"/>
      <c r="D206" s="684"/>
      <c r="E206" s="684"/>
      <c r="F206" s="684"/>
    </row>
    <row r="207" spans="1:6" x14ac:dyDescent="0.25">
      <c r="A207" s="615" t="s">
        <v>99</v>
      </c>
      <c r="B207" s="616"/>
      <c r="D207" s="684"/>
      <c r="E207" s="684"/>
      <c r="F207" s="684"/>
    </row>
    <row r="208" spans="1:6" x14ac:dyDescent="0.25">
      <c r="A208" s="618" t="s">
        <v>100</v>
      </c>
      <c r="B208" s="598"/>
      <c r="D208" s="683">
        <f>'IMRO Decision 2006-10'!D365</f>
        <v>1.5</v>
      </c>
      <c r="E208" s="683">
        <f>'IMRO Decision 2006-10'!E365</f>
        <v>1.5</v>
      </c>
      <c r="F208" s="683">
        <f>'IMRO Decision 2006-10'!F365</f>
        <v>1.5</v>
      </c>
    </row>
    <row r="209" spans="1:6" x14ac:dyDescent="0.25">
      <c r="A209" s="618" t="s">
        <v>101</v>
      </c>
      <c r="B209" s="598"/>
      <c r="D209" s="683">
        <f>'IMRO Decision 2006-10'!D366</f>
        <v>2.5</v>
      </c>
      <c r="E209" s="683">
        <f>'IMRO Decision 2006-10'!E366</f>
        <v>2.5</v>
      </c>
      <c r="F209" s="683">
        <f>'IMRO Decision 2006-10'!F366</f>
        <v>2.5</v>
      </c>
    </row>
    <row r="210" spans="1:6" x14ac:dyDescent="0.25">
      <c r="A210" s="618" t="s">
        <v>102</v>
      </c>
      <c r="B210" s="598"/>
      <c r="D210" s="683">
        <f>'IMRO Decision 2006-10'!D367</f>
        <v>4.5</v>
      </c>
      <c r="E210" s="683">
        <f>'IMRO Decision 2006-10'!E367</f>
        <v>4.5</v>
      </c>
      <c r="F210" s="683">
        <f>'IMRO Decision 2006-10'!F367</f>
        <v>4.5</v>
      </c>
    </row>
    <row r="211" spans="1:6" x14ac:dyDescent="0.25">
      <c r="A211" s="618" t="s">
        <v>103</v>
      </c>
      <c r="B211" s="598"/>
      <c r="D211" s="683">
        <f>'IMRO Decision 2006-10'!D368</f>
        <v>6.2</v>
      </c>
      <c r="E211" s="683">
        <f>'IMRO Decision 2006-10'!E368</f>
        <v>6.2</v>
      </c>
      <c r="F211" s="683">
        <f>'IMRO Decision 2006-10'!F368</f>
        <v>6.2</v>
      </c>
    </row>
    <row r="212" spans="1:6" x14ac:dyDescent="0.25">
      <c r="A212" s="618"/>
      <c r="B212" s="598"/>
      <c r="D212" s="684"/>
      <c r="E212" s="684"/>
      <c r="F212" s="684"/>
    </row>
    <row r="213" spans="1:6" x14ac:dyDescent="0.25">
      <c r="A213" s="618" t="s">
        <v>53</v>
      </c>
      <c r="B213" s="598"/>
      <c r="D213" s="683">
        <f>'IMRO Decision 2006-10'!D356</f>
        <v>34.6</v>
      </c>
      <c r="E213" s="683">
        <f>'IMRO Decision 2006-10'!E356</f>
        <v>35.110669999999999</v>
      </c>
      <c r="F213" s="683">
        <f>'IMRO Decision 2006-10'!F356</f>
        <v>35.632727940999999</v>
      </c>
    </row>
    <row r="216" spans="1:6" x14ac:dyDescent="0.25">
      <c r="A216" s="613" t="s">
        <v>95</v>
      </c>
      <c r="B216" s="614"/>
      <c r="C216" s="462"/>
      <c r="D216" s="595">
        <v>2006</v>
      </c>
      <c r="E216" s="595">
        <v>2007</v>
      </c>
      <c r="F216" s="595">
        <v>2008</v>
      </c>
    </row>
    <row r="217" spans="1:6" x14ac:dyDescent="0.25">
      <c r="A217" s="615" t="s">
        <v>52</v>
      </c>
      <c r="B217" s="616"/>
      <c r="C217" s="462"/>
      <c r="D217" s="617"/>
      <c r="E217" s="617"/>
      <c r="F217" s="603"/>
    </row>
    <row r="218" spans="1:6" x14ac:dyDescent="0.25">
      <c r="A218" s="618" t="s">
        <v>55</v>
      </c>
      <c r="B218" s="598"/>
      <c r="C218" s="462"/>
      <c r="D218" s="676">
        <f>'IMRO Decision 2006-10'!J349</f>
        <v>747451</v>
      </c>
      <c r="E218" s="676">
        <f>'IMRO Decision 2006-10'!K349</f>
        <v>759339.75</v>
      </c>
      <c r="F218" s="676">
        <f>'IMRO Decision 2006-10'!L349</f>
        <v>748509.32542202831</v>
      </c>
    </row>
    <row r="219" spans="1:6" x14ac:dyDescent="0.25">
      <c r="A219" s="613"/>
      <c r="B219" s="614"/>
      <c r="C219" s="462"/>
      <c r="D219" s="617"/>
      <c r="E219" s="617"/>
      <c r="F219" s="603"/>
    </row>
    <row r="220" spans="1:6" x14ac:dyDescent="0.25">
      <c r="A220" s="615" t="s">
        <v>24</v>
      </c>
      <c r="B220" s="616"/>
      <c r="D220" s="462"/>
      <c r="E220" s="462"/>
      <c r="F220" s="462"/>
    </row>
    <row r="221" spans="1:6" x14ac:dyDescent="0.25">
      <c r="A221" s="618" t="s">
        <v>263</v>
      </c>
      <c r="B221" s="598"/>
      <c r="D221" s="462"/>
      <c r="E221" s="462"/>
      <c r="F221" s="462"/>
    </row>
    <row r="222" spans="1:6" x14ac:dyDescent="0.25">
      <c r="A222" s="618" t="s">
        <v>56</v>
      </c>
      <c r="B222" s="598"/>
      <c r="D222" s="676">
        <f>'IMRO Decision 2006-10'!J370</f>
        <v>2840.5</v>
      </c>
      <c r="E222" s="676">
        <f>'IMRO Decision 2006-10'!K370</f>
        <v>0</v>
      </c>
      <c r="F222" s="676">
        <f>'IMRO Decision 2006-10'!L370</f>
        <v>0</v>
      </c>
    </row>
    <row r="223" spans="1:6" x14ac:dyDescent="0.25">
      <c r="A223" s="618" t="s">
        <v>57</v>
      </c>
      <c r="B223" s="598"/>
      <c r="D223" s="676">
        <f>'IMRO Decision 2006-10'!J371</f>
        <v>704157.15653132333</v>
      </c>
      <c r="E223" s="676">
        <f>'IMRO Decision 2006-10'!K371</f>
        <v>695525.52097347646</v>
      </c>
      <c r="F223" s="676">
        <f>'IMRO Decision 2006-10'!L371</f>
        <v>605602.09639550466</v>
      </c>
    </row>
    <row r="224" spans="1:6" x14ac:dyDescent="0.25">
      <c r="A224" s="618" t="s">
        <v>58</v>
      </c>
      <c r="B224" s="598"/>
      <c r="D224" s="676">
        <f>'IMRO Decision 2006-10'!J372</f>
        <v>5242.6427209510994</v>
      </c>
      <c r="E224" s="676">
        <f>'IMRO Decision 2006-10'!K372</f>
        <v>7714.5067294751007</v>
      </c>
      <c r="F224" s="676">
        <f>'IMRO Decision 2006-10'!L372</f>
        <v>7022.5067294751007</v>
      </c>
    </row>
    <row r="225" spans="1:14" x14ac:dyDescent="0.25">
      <c r="A225" s="618" t="s">
        <v>59</v>
      </c>
      <c r="B225" s="598"/>
      <c r="D225" s="676">
        <f>'IMRO Decision 2006-10'!J373</f>
        <v>35210.700747725568</v>
      </c>
      <c r="E225" s="676">
        <f>'IMRO Decision 2006-10'!K373</f>
        <v>56099.7222970484</v>
      </c>
      <c r="F225" s="676">
        <f>'IMRO Decision 2006-10'!L373</f>
        <v>135884.7222970484</v>
      </c>
    </row>
    <row r="226" spans="1:14" x14ac:dyDescent="0.25">
      <c r="D226" s="462"/>
      <c r="E226" s="462"/>
      <c r="F226" s="462"/>
    </row>
    <row r="227" spans="1:14" x14ac:dyDescent="0.25">
      <c r="A227" s="615" t="s">
        <v>53</v>
      </c>
      <c r="B227" s="616"/>
      <c r="C227" s="462"/>
      <c r="D227" s="617"/>
      <c r="E227" s="617"/>
      <c r="F227" s="603"/>
    </row>
    <row r="228" spans="1:14" x14ac:dyDescent="0.25">
      <c r="A228" s="618" t="s">
        <v>60</v>
      </c>
      <c r="B228" s="598"/>
      <c r="C228" s="462"/>
      <c r="D228" s="676">
        <f>SUM('IMRO Decision 2006-10'!J356,'IMRO Decision 2006-10'!J358:J362)</f>
        <v>15146.671734338335</v>
      </c>
      <c r="E228" s="676">
        <f>SUM('IMRO Decision 2006-10'!K356,'IMRO Decision 2006-10'!K358:K362)</f>
        <v>8646.5572566308765</v>
      </c>
      <c r="F228" s="676">
        <f>SUM('IMRO Decision 2006-10'!L356,'IMRO Decision 2006-10'!L358:L362)</f>
        <v>52408.492760761226</v>
      </c>
    </row>
    <row r="231" spans="1:14" ht="13.8" thickBot="1" x14ac:dyDescent="0.3">
      <c r="A231" s="632"/>
      <c r="B231" s="633"/>
      <c r="C231" s="632"/>
      <c r="D231" s="632"/>
      <c r="E231" s="632"/>
      <c r="F231" s="632"/>
      <c r="G231" s="632"/>
      <c r="H231" s="632"/>
      <c r="I231" s="632"/>
      <c r="J231" s="632"/>
      <c r="K231" s="632"/>
      <c r="L231" s="632"/>
      <c r="M231" s="632"/>
      <c r="N231" s="632"/>
    </row>
  </sheetData>
  <sheetProtection sheet="1" objects="1" scenarios="1"/>
  <mergeCells count="12">
    <mergeCell ref="A5:F5"/>
    <mergeCell ref="D57:F57"/>
    <mergeCell ref="D74:F74"/>
    <mergeCell ref="D9:F9"/>
    <mergeCell ref="D27:F27"/>
    <mergeCell ref="D18:F18"/>
    <mergeCell ref="D38:F38"/>
    <mergeCell ref="C144:D144"/>
    <mergeCell ref="D92:F92"/>
    <mergeCell ref="D82:F82"/>
    <mergeCell ref="D103:F103"/>
    <mergeCell ref="A79:F79"/>
  </mergeCells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 enableFormatConditionsCalculation="0">
    <tabColor indexed="44"/>
    <pageSetUpPr fitToPage="1"/>
  </sheetPr>
  <dimension ref="A1:K93"/>
  <sheetViews>
    <sheetView zoomScale="85" zoomScaleNormal="100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P15" sqref="P15"/>
    </sheetView>
  </sheetViews>
  <sheetFormatPr defaultColWidth="9.109375" defaultRowHeight="13.2" x14ac:dyDescent="0.25"/>
  <cols>
    <col min="1" max="1" width="51.88671875" style="21" customWidth="1"/>
    <col min="2" max="2" width="6.5546875" style="85" customWidth="1"/>
    <col min="3" max="3" width="25.44140625" style="21" customWidth="1"/>
    <col min="4" max="4" width="13.109375" style="21" customWidth="1"/>
    <col min="5" max="5" width="11.88671875" style="21" customWidth="1"/>
    <col min="6" max="10" width="11.5546875" style="21" customWidth="1"/>
    <col min="11" max="11" width="9.109375" style="1"/>
    <col min="12" max="16384" width="9.109375" style="21"/>
  </cols>
  <sheetData>
    <row r="1" spans="1:11" s="1" customFormat="1" x14ac:dyDescent="0.25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</row>
    <row r="2" spans="1:11" s="1" customFormat="1" ht="13.8" x14ac:dyDescent="0.25">
      <c r="A2" s="30"/>
      <c r="B2" s="95"/>
      <c r="C2" s="2"/>
      <c r="D2" s="65" t="s">
        <v>22</v>
      </c>
      <c r="E2" s="66" t="s">
        <v>22</v>
      </c>
      <c r="F2" s="66" t="s">
        <v>22</v>
      </c>
      <c r="G2" s="66" t="s">
        <v>22</v>
      </c>
      <c r="H2" s="66" t="s">
        <v>22</v>
      </c>
      <c r="I2" s="66" t="s">
        <v>22</v>
      </c>
      <c r="J2" s="67" t="s">
        <v>22</v>
      </c>
      <c r="K2" s="110"/>
    </row>
    <row r="3" spans="1:11" s="1" customFormat="1" ht="15.6" x14ac:dyDescent="0.3">
      <c r="A3" s="72" t="s">
        <v>416</v>
      </c>
      <c r="B3" s="452"/>
      <c r="C3" s="2"/>
      <c r="D3" s="62" t="s">
        <v>20</v>
      </c>
      <c r="E3" s="63" t="s">
        <v>20</v>
      </c>
      <c r="F3" s="63" t="s">
        <v>20</v>
      </c>
      <c r="G3" s="63" t="s">
        <v>20</v>
      </c>
      <c r="H3" s="63" t="s">
        <v>20</v>
      </c>
      <c r="I3" s="63" t="s">
        <v>20</v>
      </c>
      <c r="J3" s="64" t="s">
        <v>20</v>
      </c>
      <c r="K3" s="110"/>
    </row>
    <row r="4" spans="1:11" s="1" customFormat="1" ht="15.6" x14ac:dyDescent="0.3">
      <c r="B4" s="96"/>
      <c r="C4" s="41"/>
      <c r="D4" s="42"/>
      <c r="E4" s="42"/>
      <c r="F4" s="42"/>
      <c r="G4" s="42"/>
      <c r="H4" s="42"/>
      <c r="I4" s="42"/>
      <c r="J4" s="42"/>
      <c r="K4" s="42"/>
    </row>
    <row r="5" spans="1:11" s="1" customFormat="1" ht="15.6" x14ac:dyDescent="0.3">
      <c r="A5" s="813" t="s">
        <v>405</v>
      </c>
      <c r="B5" s="452"/>
      <c r="C5" s="2"/>
      <c r="D5" s="2"/>
      <c r="E5" s="2"/>
      <c r="F5" s="2"/>
      <c r="G5" s="2"/>
      <c r="H5" s="2"/>
      <c r="I5" s="2"/>
      <c r="J5" s="2"/>
      <c r="K5" s="2"/>
    </row>
    <row r="6" spans="1:11" s="1" customFormat="1" x14ac:dyDescent="0.25">
      <c r="A6" s="3"/>
      <c r="B6" s="93"/>
      <c r="C6" s="2"/>
      <c r="D6" s="2"/>
      <c r="E6" s="2"/>
      <c r="F6" s="2"/>
      <c r="G6" s="2"/>
      <c r="H6" s="2"/>
      <c r="I6" s="2"/>
      <c r="J6" s="2"/>
      <c r="K6" s="2"/>
    </row>
    <row r="7" spans="1:11" s="1" customFormat="1" x14ac:dyDescent="0.25">
      <c r="A7" s="3"/>
      <c r="B7" s="60"/>
      <c r="C7" s="2"/>
      <c r="D7" s="46">
        <f t="shared" ref="D7:J7" si="0">D$1</f>
        <v>2009</v>
      </c>
      <c r="E7" s="47">
        <f t="shared" si="0"/>
        <v>2010</v>
      </c>
      <c r="F7" s="47">
        <f t="shared" si="0"/>
        <v>2011</v>
      </c>
      <c r="G7" s="47">
        <f t="shared" si="0"/>
        <v>2012</v>
      </c>
      <c r="H7" s="47">
        <f t="shared" si="0"/>
        <v>2013</v>
      </c>
      <c r="I7" s="47">
        <f t="shared" si="0"/>
        <v>2014</v>
      </c>
      <c r="J7" s="48">
        <f t="shared" si="0"/>
        <v>2015</v>
      </c>
      <c r="K7" s="56"/>
    </row>
    <row r="8" spans="1:11" s="1" customFormat="1" x14ac:dyDescent="0.25">
      <c r="A8" s="43" t="s">
        <v>37</v>
      </c>
      <c r="B8" s="85"/>
      <c r="C8" s="747" t="s">
        <v>7</v>
      </c>
      <c r="D8" s="49" t="str">
        <f t="shared" ref="D8:J8" si="1">D$2</f>
        <v>Nominal $</v>
      </c>
      <c r="E8" s="50" t="str">
        <f t="shared" si="1"/>
        <v>Nominal $</v>
      </c>
      <c r="F8" s="50" t="str">
        <f t="shared" si="1"/>
        <v>Nominal $</v>
      </c>
      <c r="G8" s="50" t="str">
        <f t="shared" si="1"/>
        <v>Nominal $</v>
      </c>
      <c r="H8" s="50" t="str">
        <f t="shared" si="1"/>
        <v>Nominal $</v>
      </c>
      <c r="I8" s="50" t="str">
        <f t="shared" si="1"/>
        <v>Nominal $</v>
      </c>
      <c r="J8" s="51" t="str">
        <f t="shared" si="1"/>
        <v>Nominal $</v>
      </c>
      <c r="K8" s="110"/>
    </row>
    <row r="9" spans="1:11" s="1" customFormat="1" x14ac:dyDescent="0.25">
      <c r="A9" s="7"/>
      <c r="B9" s="86"/>
      <c r="C9" s="748" t="s">
        <v>8</v>
      </c>
      <c r="D9" s="52" t="str">
        <f t="shared" ref="D9:J9" si="2">D$3</f>
        <v>Actual</v>
      </c>
      <c r="E9" s="53" t="str">
        <f t="shared" si="2"/>
        <v>Actual</v>
      </c>
      <c r="F9" s="53" t="str">
        <f t="shared" si="2"/>
        <v>Actual</v>
      </c>
      <c r="G9" s="53" t="str">
        <f t="shared" si="2"/>
        <v>Actual</v>
      </c>
      <c r="H9" s="53" t="str">
        <f t="shared" si="2"/>
        <v>Actual</v>
      </c>
      <c r="I9" s="53" t="str">
        <f t="shared" si="2"/>
        <v>Actual</v>
      </c>
      <c r="J9" s="728" t="str">
        <f t="shared" si="2"/>
        <v>Actual</v>
      </c>
      <c r="K9" s="110"/>
    </row>
    <row r="10" spans="1:11" s="1" customFormat="1" x14ac:dyDescent="0.25">
      <c r="A10" s="85" t="s">
        <v>42</v>
      </c>
      <c r="B10" s="85"/>
      <c r="C10" s="106" t="str">
        <f>'Data 2009-15 (Real $2008)'!C10</f>
        <v>Depreciated by end of  2013</v>
      </c>
      <c r="D10" s="758">
        <v>5642354.8024567701</v>
      </c>
      <c r="E10" s="759">
        <v>5666645.7940240987</v>
      </c>
      <c r="F10" s="759">
        <v>244000</v>
      </c>
      <c r="G10" s="759">
        <v>674105.83766478498</v>
      </c>
      <c r="H10" s="759"/>
      <c r="I10" s="759"/>
      <c r="J10" s="760"/>
      <c r="K10" s="119"/>
    </row>
    <row r="11" spans="1:11" s="1" customFormat="1" x14ac:dyDescent="0.25">
      <c r="A11" s="84" t="s">
        <v>260</v>
      </c>
      <c r="B11" s="85"/>
      <c r="C11" s="316" t="str">
        <f>'Data 2009-15 (Real $2008)'!C11</f>
        <v>Depreciated by end of  2013</v>
      </c>
      <c r="D11" s="758">
        <v>4388551.8229085337</v>
      </c>
      <c r="E11" s="759">
        <v>5905381.0176459458</v>
      </c>
      <c r="F11" s="759">
        <v>6000</v>
      </c>
      <c r="G11" s="759">
        <v>69558.012335216801</v>
      </c>
      <c r="H11" s="759"/>
      <c r="I11" s="759"/>
      <c r="J11" s="760"/>
      <c r="K11" s="119"/>
    </row>
    <row r="12" spans="1:11" s="1" customFormat="1" x14ac:dyDescent="0.25">
      <c r="A12" s="318" t="s">
        <v>367</v>
      </c>
      <c r="B12" s="85"/>
      <c r="C12" s="316">
        <f>'Data 2009-15 (Real $2008)'!C12</f>
        <v>15</v>
      </c>
      <c r="D12" s="758">
        <v>1217602.3400000001</v>
      </c>
      <c r="E12" s="759">
        <v>29691789.298330415</v>
      </c>
      <c r="F12" s="759">
        <v>80253000</v>
      </c>
      <c r="G12" s="759">
        <v>90618361.041847378</v>
      </c>
      <c r="H12" s="759"/>
      <c r="I12" s="759"/>
      <c r="J12" s="760"/>
      <c r="K12" s="19"/>
    </row>
    <row r="13" spans="1:11" s="1" customFormat="1" x14ac:dyDescent="0.25">
      <c r="A13" s="318" t="s">
        <v>277</v>
      </c>
      <c r="B13" s="85"/>
      <c r="C13" s="316">
        <f>'Data 2009-15 (Real $2008)'!C13</f>
        <v>7</v>
      </c>
      <c r="D13" s="758">
        <f>'[4]CY09-CY14'!B128+'[4]CY09-CY14'!B135</f>
        <v>26456656.351864353</v>
      </c>
      <c r="E13" s="759">
        <f>'[4]CY09-CY14'!C128+'[4]CY09-CY14'!C135</f>
        <v>38827401.623737559</v>
      </c>
      <c r="F13" s="759">
        <f>'[4]CY09-CY14'!D128+'[4]CY09-CY14'!D135</f>
        <v>23232071.948036101</v>
      </c>
      <c r="G13" s="759">
        <f>'[4]CY09-CY14'!E128+'[4]CY09-CY14'!E135</f>
        <v>24642546.559058473</v>
      </c>
      <c r="H13" s="759"/>
      <c r="I13" s="759"/>
      <c r="J13" s="760"/>
      <c r="K13" s="15"/>
    </row>
    <row r="14" spans="1:11" s="1" customFormat="1" x14ac:dyDescent="0.25">
      <c r="A14" s="318" t="s">
        <v>279</v>
      </c>
      <c r="B14" s="88"/>
      <c r="C14" s="316">
        <f>'Data 2009-15 (Real $2008)'!C14</f>
        <v>7</v>
      </c>
      <c r="D14" s="758">
        <f>'[4]CY09-CY14'!B136</f>
        <v>888555.09</v>
      </c>
      <c r="E14" s="759">
        <f>'[4]CY09-CY14'!C136</f>
        <v>8756866.3000000007</v>
      </c>
      <c r="F14" s="759">
        <f>'[4]CY09-CY14'!D136</f>
        <v>8959364.2199999988</v>
      </c>
      <c r="G14" s="759">
        <f>'[4]CY09-CY14'!E136</f>
        <v>24833830.630000003</v>
      </c>
      <c r="H14" s="759"/>
      <c r="I14" s="759"/>
      <c r="J14" s="760"/>
      <c r="K14" s="15"/>
    </row>
    <row r="15" spans="1:11" s="1" customFormat="1" x14ac:dyDescent="0.25">
      <c r="A15" s="318" t="s">
        <v>278</v>
      </c>
      <c r="B15" s="85"/>
      <c r="C15" s="107">
        <f>'Data 2009-15 (Real $2008)'!C15</f>
        <v>7</v>
      </c>
      <c r="D15" s="758">
        <v>0</v>
      </c>
      <c r="E15" s="759">
        <v>0</v>
      </c>
      <c r="F15" s="759">
        <v>0</v>
      </c>
      <c r="G15" s="759">
        <v>0</v>
      </c>
      <c r="H15" s="759"/>
      <c r="I15" s="759"/>
      <c r="J15" s="760"/>
      <c r="K15" s="15"/>
    </row>
    <row r="16" spans="1:11" s="1" customFormat="1" ht="13.8" thickBot="1" x14ac:dyDescent="0.3">
      <c r="A16" s="88" t="s">
        <v>45</v>
      </c>
      <c r="B16" s="85"/>
      <c r="C16" s="2"/>
      <c r="D16" s="11">
        <f t="shared" ref="D16:J16" si="3">SUM(D10:D15)</f>
        <v>38593720.407229662</v>
      </c>
      <c r="E16" s="12">
        <f t="shared" si="3"/>
        <v>88848084.033738017</v>
      </c>
      <c r="F16" s="12">
        <f t="shared" si="3"/>
        <v>112694436.1680361</v>
      </c>
      <c r="G16" s="12">
        <f t="shared" si="3"/>
        <v>140838402.08090585</v>
      </c>
      <c r="H16" s="12">
        <f t="shared" si="3"/>
        <v>0</v>
      </c>
      <c r="I16" s="12">
        <f t="shared" si="3"/>
        <v>0</v>
      </c>
      <c r="J16" s="13">
        <f t="shared" si="3"/>
        <v>0</v>
      </c>
      <c r="K16" s="15"/>
    </row>
    <row r="17" spans="1:11" s="1" customFormat="1" ht="13.8" thickTop="1" x14ac:dyDescent="0.25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</row>
    <row r="18" spans="1:11" s="1" customFormat="1" x14ac:dyDescent="0.25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</row>
    <row r="19" spans="1:11" s="1" customFormat="1" x14ac:dyDescent="0.25">
      <c r="A19" s="320"/>
      <c r="B19" s="85"/>
      <c r="C19" s="2"/>
      <c r="D19" s="46">
        <f t="shared" ref="D19:J19" si="4">D$1</f>
        <v>2009</v>
      </c>
      <c r="E19" s="47">
        <f t="shared" si="4"/>
        <v>2010</v>
      </c>
      <c r="F19" s="47">
        <f t="shared" si="4"/>
        <v>2011</v>
      </c>
      <c r="G19" s="47">
        <f t="shared" si="4"/>
        <v>2012</v>
      </c>
      <c r="H19" s="47">
        <f t="shared" si="4"/>
        <v>2013</v>
      </c>
      <c r="I19" s="47">
        <f t="shared" si="4"/>
        <v>2014</v>
      </c>
      <c r="J19" s="48">
        <f t="shared" si="4"/>
        <v>2015</v>
      </c>
      <c r="K19" s="15"/>
    </row>
    <row r="20" spans="1:11" s="1" customFormat="1" x14ac:dyDescent="0.25">
      <c r="A20" s="320"/>
      <c r="B20" s="85"/>
      <c r="C20" s="308" t="s">
        <v>276</v>
      </c>
      <c r="D20" s="49" t="str">
        <f t="shared" ref="D20:J20" si="5">D$2</f>
        <v>Nominal $</v>
      </c>
      <c r="E20" s="50" t="str">
        <f t="shared" si="5"/>
        <v>Nominal $</v>
      </c>
      <c r="F20" s="50" t="str">
        <f t="shared" si="5"/>
        <v>Nominal $</v>
      </c>
      <c r="G20" s="50" t="str">
        <f t="shared" si="5"/>
        <v>Nominal $</v>
      </c>
      <c r="H20" s="50" t="str">
        <f t="shared" si="5"/>
        <v>Nominal $</v>
      </c>
      <c r="I20" s="50" t="str">
        <f t="shared" si="5"/>
        <v>Nominal $</v>
      </c>
      <c r="J20" s="51" t="str">
        <f t="shared" si="5"/>
        <v>Nominal $</v>
      </c>
      <c r="K20" s="15"/>
    </row>
    <row r="21" spans="1:11" s="1" customFormat="1" x14ac:dyDescent="0.25">
      <c r="A21" s="74" t="s">
        <v>47</v>
      </c>
      <c r="B21" s="91"/>
      <c r="C21" s="321" t="s">
        <v>48</v>
      </c>
      <c r="D21" s="52" t="str">
        <f t="shared" ref="D21:J21" si="6">D$3</f>
        <v>Actual</v>
      </c>
      <c r="E21" s="53" t="str">
        <f t="shared" si="6"/>
        <v>Actual</v>
      </c>
      <c r="F21" s="53" t="str">
        <f t="shared" si="6"/>
        <v>Actual</v>
      </c>
      <c r="G21" s="53" t="str">
        <f t="shared" si="6"/>
        <v>Actual</v>
      </c>
      <c r="H21" s="53" t="str">
        <f t="shared" si="6"/>
        <v>Actual</v>
      </c>
      <c r="I21" s="53" t="str">
        <f t="shared" si="6"/>
        <v>Actual</v>
      </c>
      <c r="J21" s="728" t="str">
        <f t="shared" si="6"/>
        <v>Actual</v>
      </c>
      <c r="K21" s="15"/>
    </row>
    <row r="22" spans="1:11" s="1" customFormat="1" x14ac:dyDescent="0.25">
      <c r="A22" s="84" t="s">
        <v>368</v>
      </c>
      <c r="B22" s="91"/>
      <c r="C22" s="322">
        <f>'Data 2009-15 (Real $2008)'!C22</f>
        <v>0.375</v>
      </c>
      <c r="D22" s="325">
        <f t="shared" ref="D22:J22" si="7">SUM(D10:D12)-D23</f>
        <v>11248508.965365304</v>
      </c>
      <c r="E22" s="19">
        <f t="shared" si="7"/>
        <v>41263816.110000461</v>
      </c>
      <c r="F22" s="19">
        <f t="shared" si="7"/>
        <v>80503000</v>
      </c>
      <c r="G22" s="19">
        <f t="shared" si="7"/>
        <v>91362024.891847387</v>
      </c>
      <c r="H22" s="19">
        <f t="shared" si="7"/>
        <v>0</v>
      </c>
      <c r="I22" s="19">
        <f t="shared" si="7"/>
        <v>0</v>
      </c>
      <c r="J22" s="326">
        <f t="shared" si="7"/>
        <v>0</v>
      </c>
      <c r="K22" s="15"/>
    </row>
    <row r="23" spans="1:11" s="1" customFormat="1" x14ac:dyDescent="0.25">
      <c r="A23" s="84" t="s">
        <v>369</v>
      </c>
      <c r="B23" s="88"/>
      <c r="C23" s="323">
        <f>'Data 2009-15 (Real $2008)'!C23</f>
        <v>0.06</v>
      </c>
      <c r="D23" s="758">
        <v>0</v>
      </c>
      <c r="E23" s="759">
        <v>0</v>
      </c>
      <c r="F23" s="759">
        <v>0</v>
      </c>
      <c r="G23" s="759">
        <v>0</v>
      </c>
      <c r="H23" s="759"/>
      <c r="I23" s="759"/>
      <c r="J23" s="760"/>
      <c r="K23" s="15"/>
    </row>
    <row r="24" spans="1:11" s="1" customFormat="1" x14ac:dyDescent="0.25">
      <c r="A24" s="84" t="s">
        <v>277</v>
      </c>
      <c r="B24" s="85"/>
      <c r="C24" s="323">
        <f>'Data 2009-15 (Real $2008)'!C24</f>
        <v>0.4</v>
      </c>
      <c r="D24" s="325">
        <f t="shared" ref="D24:F26" si="8">D13</f>
        <v>26456656.351864353</v>
      </c>
      <c r="E24" s="19">
        <f t="shared" si="8"/>
        <v>38827401.623737559</v>
      </c>
      <c r="F24" s="19">
        <f t="shared" si="8"/>
        <v>23232071.948036101</v>
      </c>
      <c r="G24" s="19">
        <f t="shared" ref="G24:J26" si="9">G13</f>
        <v>24642546.559058473</v>
      </c>
      <c r="H24" s="19">
        <f t="shared" si="9"/>
        <v>0</v>
      </c>
      <c r="I24" s="19">
        <f t="shared" si="9"/>
        <v>0</v>
      </c>
      <c r="J24" s="326">
        <f t="shared" si="9"/>
        <v>0</v>
      </c>
      <c r="K24" s="15"/>
    </row>
    <row r="25" spans="1:11" s="1" customFormat="1" x14ac:dyDescent="0.25">
      <c r="A25" s="84" t="s">
        <v>279</v>
      </c>
      <c r="B25" s="85"/>
      <c r="C25" s="323">
        <f>'Data 2009-15 (Real $2008)'!C25</f>
        <v>0.21428571428571427</v>
      </c>
      <c r="D25" s="325">
        <f t="shared" si="8"/>
        <v>888555.09</v>
      </c>
      <c r="E25" s="19">
        <f t="shared" si="8"/>
        <v>8756866.3000000007</v>
      </c>
      <c r="F25" s="19">
        <f t="shared" si="8"/>
        <v>8959364.2199999988</v>
      </c>
      <c r="G25" s="19">
        <f t="shared" si="9"/>
        <v>24833830.630000003</v>
      </c>
      <c r="H25" s="19">
        <f t="shared" si="9"/>
        <v>0</v>
      </c>
      <c r="I25" s="19">
        <f t="shared" si="9"/>
        <v>0</v>
      </c>
      <c r="J25" s="326">
        <f t="shared" si="9"/>
        <v>0</v>
      </c>
      <c r="K25" s="15"/>
    </row>
    <row r="26" spans="1:11" s="1" customFormat="1" x14ac:dyDescent="0.25">
      <c r="A26" s="87" t="s">
        <v>278</v>
      </c>
      <c r="B26" s="85"/>
      <c r="C26" s="324">
        <f>'Data 2009-15 (Real $2008)'!C26</f>
        <v>0.1764705882352941</v>
      </c>
      <c r="D26" s="325">
        <f t="shared" si="8"/>
        <v>0</v>
      </c>
      <c r="E26" s="19">
        <f t="shared" si="8"/>
        <v>0</v>
      </c>
      <c r="F26" s="19">
        <f t="shared" si="8"/>
        <v>0</v>
      </c>
      <c r="G26" s="19">
        <f t="shared" si="9"/>
        <v>0</v>
      </c>
      <c r="H26" s="19">
        <f t="shared" si="9"/>
        <v>0</v>
      </c>
      <c r="I26" s="19">
        <f t="shared" si="9"/>
        <v>0</v>
      </c>
      <c r="J26" s="326">
        <f t="shared" si="9"/>
        <v>0</v>
      </c>
      <c r="K26" s="15"/>
    </row>
    <row r="27" spans="1:11" s="1" customFormat="1" ht="13.8" thickBot="1" x14ac:dyDescent="0.3">
      <c r="A27" s="88" t="s">
        <v>45</v>
      </c>
      <c r="B27" s="60"/>
      <c r="C27" s="2"/>
      <c r="D27" s="11">
        <f t="shared" ref="D27:J27" si="10">SUM(D21:D26)</f>
        <v>38593720.407229662</v>
      </c>
      <c r="E27" s="12">
        <f t="shared" si="10"/>
        <v>88848084.033738017</v>
      </c>
      <c r="F27" s="12">
        <f t="shared" si="10"/>
        <v>112694436.1680361</v>
      </c>
      <c r="G27" s="12">
        <f t="shared" si="10"/>
        <v>140838402.08090585</v>
      </c>
      <c r="H27" s="12">
        <f t="shared" si="10"/>
        <v>0</v>
      </c>
      <c r="I27" s="12">
        <f t="shared" si="10"/>
        <v>0</v>
      </c>
      <c r="J27" s="13">
        <f t="shared" si="10"/>
        <v>0</v>
      </c>
      <c r="K27" s="15"/>
    </row>
    <row r="28" spans="1:11" s="1" customFormat="1" ht="13.8" thickTop="1" x14ac:dyDescent="0.25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</row>
    <row r="29" spans="1:11" s="1" customFormat="1" x14ac:dyDescent="0.25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</row>
    <row r="30" spans="1:11" s="1" customFormat="1" x14ac:dyDescent="0.25">
      <c r="A30" s="14"/>
      <c r="B30" s="85"/>
      <c r="C30" s="2"/>
      <c r="D30" s="46">
        <f t="shared" ref="D30:J30" si="11">D$1</f>
        <v>2009</v>
      </c>
      <c r="E30" s="47">
        <f t="shared" si="11"/>
        <v>2010</v>
      </c>
      <c r="F30" s="47">
        <f t="shared" si="11"/>
        <v>2011</v>
      </c>
      <c r="G30" s="47">
        <f t="shared" si="11"/>
        <v>2012</v>
      </c>
      <c r="H30" s="47">
        <f t="shared" si="11"/>
        <v>2013</v>
      </c>
      <c r="I30" s="47">
        <f t="shared" si="11"/>
        <v>2014</v>
      </c>
      <c r="J30" s="48">
        <f t="shared" si="11"/>
        <v>2015</v>
      </c>
      <c r="K30" s="56"/>
    </row>
    <row r="31" spans="1:11" x14ac:dyDescent="0.25">
      <c r="A31" s="43" t="s">
        <v>3</v>
      </c>
      <c r="C31" s="2"/>
      <c r="D31" s="49" t="str">
        <f t="shared" ref="D31:J31" si="12">D$2</f>
        <v>Nominal $</v>
      </c>
      <c r="E31" s="50" t="str">
        <f t="shared" si="12"/>
        <v>Nominal $</v>
      </c>
      <c r="F31" s="50" t="str">
        <f t="shared" si="12"/>
        <v>Nominal $</v>
      </c>
      <c r="G31" s="50" t="str">
        <f t="shared" si="12"/>
        <v>Nominal $</v>
      </c>
      <c r="H31" s="50" t="str">
        <f t="shared" si="12"/>
        <v>Nominal $</v>
      </c>
      <c r="I31" s="50" t="str">
        <f t="shared" si="12"/>
        <v>Nominal $</v>
      </c>
      <c r="J31" s="51" t="str">
        <f t="shared" si="12"/>
        <v>Nominal $</v>
      </c>
      <c r="K31" s="110"/>
    </row>
    <row r="32" spans="1:11" x14ac:dyDescent="0.25">
      <c r="A32" s="22"/>
      <c r="B32" s="55"/>
      <c r="C32" s="20"/>
      <c r="D32" s="52" t="str">
        <f t="shared" ref="D32:J32" si="13">D$3</f>
        <v>Actual</v>
      </c>
      <c r="E32" s="53" t="str">
        <f t="shared" si="13"/>
        <v>Actual</v>
      </c>
      <c r="F32" s="53" t="str">
        <f t="shared" si="13"/>
        <v>Actual</v>
      </c>
      <c r="G32" s="53" t="str">
        <f t="shared" si="13"/>
        <v>Actual</v>
      </c>
      <c r="H32" s="53" t="str">
        <f t="shared" si="13"/>
        <v>Actual</v>
      </c>
      <c r="I32" s="53" t="str">
        <f t="shared" si="13"/>
        <v>Actual</v>
      </c>
      <c r="J32" s="728" t="str">
        <f t="shared" si="13"/>
        <v>Actual</v>
      </c>
      <c r="K32" s="110"/>
    </row>
    <row r="33" spans="1:11" x14ac:dyDescent="0.25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</row>
    <row r="34" spans="1:11" x14ac:dyDescent="0.25">
      <c r="A34" s="85" t="s">
        <v>42</v>
      </c>
      <c r="C34" s="20"/>
      <c r="D34" s="758">
        <v>0</v>
      </c>
      <c r="E34" s="759">
        <v>0</v>
      </c>
      <c r="F34" s="759">
        <v>0</v>
      </c>
      <c r="G34" s="759">
        <v>0</v>
      </c>
      <c r="H34" s="759"/>
      <c r="I34" s="759"/>
      <c r="J34" s="760"/>
      <c r="K34" s="36"/>
    </row>
    <row r="35" spans="1:11" x14ac:dyDescent="0.25">
      <c r="A35" s="85" t="s">
        <v>260</v>
      </c>
      <c r="C35" s="20"/>
      <c r="D35" s="758">
        <v>0</v>
      </c>
      <c r="E35" s="759">
        <v>0</v>
      </c>
      <c r="F35" s="759">
        <v>0</v>
      </c>
      <c r="G35" s="759">
        <v>0</v>
      </c>
      <c r="H35" s="759"/>
      <c r="I35" s="759"/>
      <c r="J35" s="760"/>
      <c r="K35" s="36"/>
    </row>
    <row r="36" spans="1:11" x14ac:dyDescent="0.25">
      <c r="A36" s="85" t="s">
        <v>367</v>
      </c>
      <c r="C36" s="20"/>
      <c r="D36" s="758">
        <v>0</v>
      </c>
      <c r="E36" s="759">
        <v>0</v>
      </c>
      <c r="F36" s="759">
        <v>0</v>
      </c>
      <c r="G36" s="759">
        <v>0</v>
      </c>
      <c r="H36" s="759"/>
      <c r="I36" s="759"/>
      <c r="J36" s="760"/>
      <c r="K36" s="36"/>
    </row>
    <row r="37" spans="1:11" x14ac:dyDescent="0.25">
      <c r="A37" s="85" t="s">
        <v>277</v>
      </c>
      <c r="C37" s="20"/>
      <c r="D37" s="758">
        <v>0</v>
      </c>
      <c r="E37" s="759">
        <v>0</v>
      </c>
      <c r="F37" s="759">
        <v>0</v>
      </c>
      <c r="G37" s="759">
        <v>0</v>
      </c>
      <c r="H37" s="759"/>
      <c r="I37" s="759"/>
      <c r="J37" s="760"/>
      <c r="K37" s="36"/>
    </row>
    <row r="38" spans="1:11" x14ac:dyDescent="0.25">
      <c r="A38" s="85" t="s">
        <v>279</v>
      </c>
      <c r="B38" s="453"/>
      <c r="C38" s="20"/>
      <c r="D38" s="758">
        <v>0</v>
      </c>
      <c r="E38" s="759">
        <v>0</v>
      </c>
      <c r="F38" s="759">
        <v>0</v>
      </c>
      <c r="G38" s="759">
        <v>0</v>
      </c>
      <c r="H38" s="759"/>
      <c r="I38" s="759"/>
      <c r="J38" s="760"/>
      <c r="K38" s="36"/>
    </row>
    <row r="39" spans="1:11" x14ac:dyDescent="0.25">
      <c r="A39" s="85" t="s">
        <v>278</v>
      </c>
      <c r="B39" s="454"/>
      <c r="C39" s="20"/>
      <c r="D39" s="758">
        <v>0</v>
      </c>
      <c r="E39" s="759">
        <v>0</v>
      </c>
      <c r="F39" s="759">
        <v>0</v>
      </c>
      <c r="G39" s="759">
        <v>0</v>
      </c>
      <c r="H39" s="759"/>
      <c r="I39" s="759"/>
      <c r="J39" s="760"/>
      <c r="K39" s="36"/>
    </row>
    <row r="40" spans="1:11" ht="13.8" thickBot="1" x14ac:dyDescent="0.3">
      <c r="A40" s="22"/>
      <c r="C40" s="20"/>
      <c r="D40" s="327">
        <f t="shared" ref="D40:J40" si="14">SUM(D34:D39)</f>
        <v>0</v>
      </c>
      <c r="E40" s="92">
        <f t="shared" si="14"/>
        <v>0</v>
      </c>
      <c r="F40" s="92">
        <f t="shared" si="14"/>
        <v>0</v>
      </c>
      <c r="G40" s="92">
        <f t="shared" si="14"/>
        <v>0</v>
      </c>
      <c r="H40" s="92">
        <f t="shared" si="14"/>
        <v>0</v>
      </c>
      <c r="I40" s="92">
        <f t="shared" si="14"/>
        <v>0</v>
      </c>
      <c r="J40" s="328">
        <f t="shared" si="14"/>
        <v>0</v>
      </c>
      <c r="K40" s="36"/>
    </row>
    <row r="41" spans="1:11" ht="13.8" thickTop="1" x14ac:dyDescent="0.25">
      <c r="A41" s="22"/>
      <c r="C41" s="20"/>
      <c r="D41" s="329"/>
      <c r="E41" s="94"/>
      <c r="F41" s="94"/>
      <c r="G41" s="94"/>
      <c r="H41" s="94"/>
      <c r="I41" s="94"/>
      <c r="J41" s="330"/>
      <c r="K41" s="36"/>
    </row>
    <row r="42" spans="1:11" x14ac:dyDescent="0.25">
      <c r="A42" s="38" t="s">
        <v>5</v>
      </c>
      <c r="C42" s="20"/>
      <c r="D42" s="23"/>
      <c r="E42" s="20"/>
      <c r="F42" s="20"/>
      <c r="G42" s="20"/>
      <c r="H42" s="20"/>
      <c r="I42" s="20"/>
      <c r="J42" s="729"/>
      <c r="K42" s="2"/>
    </row>
    <row r="43" spans="1:11" x14ac:dyDescent="0.25">
      <c r="A43" s="85" t="s">
        <v>42</v>
      </c>
      <c r="C43" s="20"/>
      <c r="D43" s="758">
        <v>0</v>
      </c>
      <c r="E43" s="759">
        <v>0</v>
      </c>
      <c r="F43" s="759">
        <v>0</v>
      </c>
      <c r="G43" s="759">
        <v>0</v>
      </c>
      <c r="H43" s="759"/>
      <c r="I43" s="759"/>
      <c r="J43" s="760"/>
      <c r="K43" s="36"/>
    </row>
    <row r="44" spans="1:11" x14ac:dyDescent="0.25">
      <c r="A44" s="85" t="s">
        <v>260</v>
      </c>
      <c r="B44" s="454"/>
      <c r="C44" s="20"/>
      <c r="D44" s="758">
        <v>0</v>
      </c>
      <c r="E44" s="759">
        <v>0</v>
      </c>
      <c r="F44" s="759">
        <v>0</v>
      </c>
      <c r="G44" s="759">
        <v>0</v>
      </c>
      <c r="H44" s="759"/>
      <c r="I44" s="759"/>
      <c r="J44" s="760"/>
      <c r="K44" s="36"/>
    </row>
    <row r="45" spans="1:11" x14ac:dyDescent="0.25">
      <c r="A45" s="85" t="s">
        <v>367</v>
      </c>
      <c r="C45" s="20"/>
      <c r="D45" s="758">
        <v>0</v>
      </c>
      <c r="E45" s="759">
        <v>0</v>
      </c>
      <c r="F45" s="759">
        <v>0</v>
      </c>
      <c r="G45" s="759">
        <v>0</v>
      </c>
      <c r="H45" s="759"/>
      <c r="I45" s="759"/>
      <c r="J45" s="760"/>
      <c r="K45" s="36"/>
    </row>
    <row r="46" spans="1:11" x14ac:dyDescent="0.25">
      <c r="A46" s="85" t="s">
        <v>277</v>
      </c>
      <c r="C46" s="20"/>
      <c r="D46" s="758">
        <v>0</v>
      </c>
      <c r="E46" s="759">
        <v>0</v>
      </c>
      <c r="F46" s="759">
        <v>0</v>
      </c>
      <c r="G46" s="759">
        <v>0</v>
      </c>
      <c r="H46" s="759"/>
      <c r="I46" s="759"/>
      <c r="J46" s="760"/>
      <c r="K46" s="36"/>
    </row>
    <row r="47" spans="1:11" x14ac:dyDescent="0.25">
      <c r="A47" s="85" t="s">
        <v>279</v>
      </c>
      <c r="B47" s="91"/>
      <c r="C47" s="20"/>
      <c r="D47" s="758">
        <v>0</v>
      </c>
      <c r="E47" s="759">
        <v>0</v>
      </c>
      <c r="F47" s="759">
        <v>0</v>
      </c>
      <c r="G47" s="759">
        <v>0</v>
      </c>
      <c r="H47" s="759"/>
      <c r="I47" s="759"/>
      <c r="J47" s="760"/>
      <c r="K47" s="36"/>
    </row>
    <row r="48" spans="1:11" x14ac:dyDescent="0.25">
      <c r="A48" s="85" t="s">
        <v>278</v>
      </c>
      <c r="C48" s="20"/>
      <c r="D48" s="758">
        <v>0</v>
      </c>
      <c r="E48" s="759">
        <v>0</v>
      </c>
      <c r="F48" s="759">
        <v>0</v>
      </c>
      <c r="G48" s="759">
        <v>0</v>
      </c>
      <c r="H48" s="759"/>
      <c r="I48" s="759"/>
      <c r="J48" s="760"/>
      <c r="K48" s="36"/>
    </row>
    <row r="49" spans="1:11" s="1" customFormat="1" ht="13.8" thickBot="1" x14ac:dyDescent="0.3">
      <c r="A49" s="14"/>
      <c r="B49" s="91"/>
      <c r="C49" s="2"/>
      <c r="D49" s="327">
        <f t="shared" ref="D49:J49" si="15">SUM(D43:D48)</f>
        <v>0</v>
      </c>
      <c r="E49" s="92">
        <f t="shared" si="15"/>
        <v>0</v>
      </c>
      <c r="F49" s="92">
        <f t="shared" si="15"/>
        <v>0</v>
      </c>
      <c r="G49" s="92">
        <f t="shared" si="15"/>
        <v>0</v>
      </c>
      <c r="H49" s="92">
        <f t="shared" si="15"/>
        <v>0</v>
      </c>
      <c r="I49" s="92">
        <f t="shared" si="15"/>
        <v>0</v>
      </c>
      <c r="J49" s="328">
        <f t="shared" si="15"/>
        <v>0</v>
      </c>
      <c r="K49" s="15"/>
    </row>
    <row r="50" spans="1:11" s="1" customFormat="1" ht="13.8" thickTop="1" x14ac:dyDescent="0.25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</row>
    <row r="51" spans="1:11" s="1" customFormat="1" x14ac:dyDescent="0.25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</row>
    <row r="52" spans="1:11" s="1" customFormat="1" x14ac:dyDescent="0.25">
      <c r="A52" s="3"/>
      <c r="B52" s="85"/>
      <c r="C52" s="2"/>
      <c r="D52" s="46">
        <f t="shared" ref="D52:J52" si="16">D$1</f>
        <v>2009</v>
      </c>
      <c r="E52" s="47">
        <f t="shared" si="16"/>
        <v>2010</v>
      </c>
      <c r="F52" s="47">
        <f t="shared" si="16"/>
        <v>2011</v>
      </c>
      <c r="G52" s="47">
        <f t="shared" si="16"/>
        <v>2012</v>
      </c>
      <c r="H52" s="47">
        <f t="shared" si="16"/>
        <v>2013</v>
      </c>
      <c r="I52" s="47">
        <f t="shared" si="16"/>
        <v>2014</v>
      </c>
      <c r="J52" s="48">
        <f t="shared" si="16"/>
        <v>2015</v>
      </c>
      <c r="K52" s="56"/>
    </row>
    <row r="53" spans="1:11" s="1" customFormat="1" x14ac:dyDescent="0.25">
      <c r="A53" s="43" t="s">
        <v>1</v>
      </c>
      <c r="B53" s="455"/>
      <c r="C53" s="2"/>
      <c r="D53" s="49" t="str">
        <f t="shared" ref="D53:J53" si="17">D$2</f>
        <v>Nominal $</v>
      </c>
      <c r="E53" s="50" t="str">
        <f t="shared" si="17"/>
        <v>Nominal $</v>
      </c>
      <c r="F53" s="50" t="str">
        <f t="shared" si="17"/>
        <v>Nominal $</v>
      </c>
      <c r="G53" s="50" t="str">
        <f t="shared" si="17"/>
        <v>Nominal $</v>
      </c>
      <c r="H53" s="50" t="str">
        <f t="shared" si="17"/>
        <v>Nominal $</v>
      </c>
      <c r="I53" s="50" t="str">
        <f t="shared" si="17"/>
        <v>Nominal $</v>
      </c>
      <c r="J53" s="51" t="str">
        <f t="shared" si="17"/>
        <v>Nominal $</v>
      </c>
      <c r="K53" s="110"/>
    </row>
    <row r="54" spans="1:11" s="1" customFormat="1" x14ac:dyDescent="0.25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Actual</v>
      </c>
      <c r="J54" s="728" t="str">
        <f t="shared" si="18"/>
        <v>Actual</v>
      </c>
      <c r="K54" s="110"/>
    </row>
    <row r="55" spans="1:11" s="1" customFormat="1" ht="13.8" thickBot="1" x14ac:dyDescent="0.3">
      <c r="A55" s="3" t="s">
        <v>2</v>
      </c>
      <c r="B55" s="85"/>
      <c r="C55" s="2"/>
      <c r="D55" s="761">
        <v>27133020.450744912</v>
      </c>
      <c r="E55" s="762">
        <v>39809474.16262313</v>
      </c>
      <c r="F55" s="762">
        <v>42811168.404355973</v>
      </c>
      <c r="G55" s="762">
        <v>40190981.149277501</v>
      </c>
      <c r="H55" s="762"/>
      <c r="I55" s="762"/>
      <c r="J55" s="763"/>
      <c r="K55" s="119"/>
    </row>
    <row r="56" spans="1:11" s="1" customFormat="1" ht="13.8" thickTop="1" x14ac:dyDescent="0.25">
      <c r="A56" s="3"/>
      <c r="B56" s="453"/>
      <c r="C56" s="2"/>
      <c r="D56" s="19"/>
      <c r="E56" s="19"/>
      <c r="F56" s="19"/>
      <c r="G56" s="19"/>
      <c r="H56" s="19"/>
      <c r="I56" s="19"/>
      <c r="J56" s="19"/>
      <c r="K56" s="19"/>
    </row>
    <row r="57" spans="1:11" s="1" customFormat="1" x14ac:dyDescent="0.25">
      <c r="A57" s="3"/>
      <c r="B57" s="449"/>
      <c r="C57" s="2"/>
      <c r="D57" s="19"/>
      <c r="E57" s="19"/>
      <c r="F57" s="19"/>
      <c r="G57" s="19"/>
      <c r="H57" s="19"/>
      <c r="I57" s="19"/>
      <c r="J57" s="19"/>
      <c r="K57" s="19"/>
    </row>
    <row r="58" spans="1:11" s="1" customFormat="1" x14ac:dyDescent="0.25">
      <c r="A58" s="60" t="s">
        <v>63</v>
      </c>
      <c r="B58" s="450"/>
      <c r="D58" s="46">
        <f t="shared" ref="D58:J58" si="19">D$1</f>
        <v>2009</v>
      </c>
      <c r="E58" s="47">
        <f t="shared" si="19"/>
        <v>2010</v>
      </c>
      <c r="F58" s="5">
        <f t="shared" si="19"/>
        <v>2011</v>
      </c>
      <c r="G58" s="5">
        <f t="shared" si="19"/>
        <v>2012</v>
      </c>
      <c r="H58" s="5">
        <f t="shared" si="19"/>
        <v>2013</v>
      </c>
      <c r="I58" s="5">
        <f t="shared" si="19"/>
        <v>2014</v>
      </c>
      <c r="J58" s="48">
        <f t="shared" si="19"/>
        <v>2015</v>
      </c>
      <c r="K58" s="19"/>
    </row>
    <row r="59" spans="1:11" s="1" customFormat="1" x14ac:dyDescent="0.25">
      <c r="B59" s="88"/>
      <c r="D59" s="726" t="s">
        <v>22</v>
      </c>
      <c r="E59" s="730" t="s">
        <v>22</v>
      </c>
      <c r="F59" s="730" t="s">
        <v>22</v>
      </c>
      <c r="G59" s="730" t="s">
        <v>22</v>
      </c>
      <c r="H59" s="730" t="s">
        <v>22</v>
      </c>
      <c r="I59" s="730" t="s">
        <v>22</v>
      </c>
      <c r="J59" s="727" t="s">
        <v>22</v>
      </c>
      <c r="K59" s="19"/>
    </row>
    <row r="60" spans="1:11" s="1" customFormat="1" ht="13.8" thickBot="1" x14ac:dyDescent="0.3">
      <c r="A60" s="78" t="s">
        <v>63</v>
      </c>
      <c r="B60" s="449"/>
      <c r="D60" s="764">
        <v>37927245.233500004</v>
      </c>
      <c r="E60" s="762">
        <v>65653893.745999992</v>
      </c>
      <c r="F60" s="762">
        <v>73478180.732400015</v>
      </c>
      <c r="G60" s="762">
        <v>83599356</v>
      </c>
      <c r="H60" s="762"/>
      <c r="I60" s="762"/>
      <c r="J60" s="763"/>
      <c r="K60" s="19"/>
    </row>
    <row r="61" spans="1:11" s="1" customFormat="1" ht="13.8" thickTop="1" x14ac:dyDescent="0.25">
      <c r="E61" s="19"/>
      <c r="K61" s="19"/>
    </row>
    <row r="62" spans="1:11" s="1" customFormat="1" x14ac:dyDescent="0.25">
      <c r="E62" s="19"/>
      <c r="K62" s="19"/>
    </row>
    <row r="63" spans="1:11" s="1" customFormat="1" x14ac:dyDescent="0.25">
      <c r="E63" s="19"/>
      <c r="K63" s="19"/>
    </row>
    <row r="64" spans="1:11" s="1" customFormat="1" x14ac:dyDescent="0.25">
      <c r="E64" s="19"/>
      <c r="K64" s="19"/>
    </row>
    <row r="65" spans="2:2" x14ac:dyDescent="0.25">
      <c r="B65" s="88"/>
    </row>
    <row r="66" spans="2:2" x14ac:dyDescent="0.25">
      <c r="B66" s="88"/>
    </row>
    <row r="67" spans="2:2" x14ac:dyDescent="0.25">
      <c r="B67" s="450"/>
    </row>
    <row r="68" spans="2:2" x14ac:dyDescent="0.25">
      <c r="B68" s="88"/>
    </row>
    <row r="69" spans="2:2" x14ac:dyDescent="0.25">
      <c r="B69" s="88"/>
    </row>
    <row r="70" spans="2:2" x14ac:dyDescent="0.25">
      <c r="B70" s="88"/>
    </row>
    <row r="71" spans="2:2" x14ac:dyDescent="0.25">
      <c r="B71" s="88"/>
    </row>
    <row r="72" spans="2:2" x14ac:dyDescent="0.25">
      <c r="B72" s="88"/>
    </row>
    <row r="73" spans="2:2" x14ac:dyDescent="0.25">
      <c r="B73" s="88"/>
    </row>
    <row r="76" spans="2:2" x14ac:dyDescent="0.25">
      <c r="B76" s="449"/>
    </row>
    <row r="77" spans="2:2" x14ac:dyDescent="0.25">
      <c r="B77" s="450"/>
    </row>
    <row r="78" spans="2:2" x14ac:dyDescent="0.25">
      <c r="B78" s="88"/>
    </row>
    <row r="79" spans="2:2" x14ac:dyDescent="0.25">
      <c r="B79" s="449"/>
    </row>
    <row r="80" spans="2:2" x14ac:dyDescent="0.25">
      <c r="B80" s="450"/>
    </row>
    <row r="81" spans="2:2" x14ac:dyDescent="0.25">
      <c r="B81" s="88"/>
    </row>
    <row r="82" spans="2:2" x14ac:dyDescent="0.25">
      <c r="B82" s="88"/>
    </row>
    <row r="83" spans="2:2" x14ac:dyDescent="0.25">
      <c r="B83" s="88"/>
    </row>
    <row r="84" spans="2:2" x14ac:dyDescent="0.25">
      <c r="B84" s="88"/>
    </row>
    <row r="85" spans="2:2" x14ac:dyDescent="0.25">
      <c r="B85" s="88"/>
    </row>
    <row r="87" spans="2:2" x14ac:dyDescent="0.25">
      <c r="B87" s="450"/>
    </row>
    <row r="88" spans="2:2" x14ac:dyDescent="0.25">
      <c r="B88" s="88"/>
    </row>
    <row r="91" spans="2:2" x14ac:dyDescent="0.25">
      <c r="B91" s="91"/>
    </row>
    <row r="92" spans="2:2" x14ac:dyDescent="0.25">
      <c r="B92" s="91"/>
    </row>
    <row r="93" spans="2:2" x14ac:dyDescent="0.25">
      <c r="B93" s="91"/>
    </row>
  </sheetData>
  <phoneticPr fontId="0" type="noConversion"/>
  <printOptions gridLines="1"/>
  <pageMargins left="0.75" right="0.75" top="0.3" bottom="0.34" header="0.18" footer="0.2"/>
  <pageSetup paperSize="8" scale="49" orientation="portrait" r:id="rId1"/>
  <headerFooter alignWithMargins="0">
    <oddFooter>&amp;L&amp;D&amp;R&amp;A \ 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>
    <tabColor indexed="44"/>
    <pageSetUpPr fitToPage="1"/>
  </sheetPr>
  <dimension ref="A1:Q231"/>
  <sheetViews>
    <sheetView zoomScale="85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ColWidth="9.109375" defaultRowHeight="13.2" x14ac:dyDescent="0.25"/>
  <cols>
    <col min="1" max="1" width="51.88671875" style="21" customWidth="1"/>
    <col min="2" max="2" width="6.5546875" style="85" customWidth="1"/>
    <col min="3" max="3" width="25.44140625" style="21" customWidth="1"/>
    <col min="4" max="4" width="13.109375" style="21" customWidth="1"/>
    <col min="5" max="5" width="11.88671875" style="21" customWidth="1"/>
    <col min="6" max="10" width="11.5546875" style="21" customWidth="1"/>
    <col min="11" max="11" width="9.109375" style="1"/>
    <col min="12" max="12" width="9.109375" style="20"/>
    <col min="13" max="15" width="12" style="20" customWidth="1"/>
    <col min="16" max="17" width="12" style="21" customWidth="1"/>
    <col min="18" max="16384" width="9.109375" style="21"/>
  </cols>
  <sheetData>
    <row r="1" spans="1:17" s="1" customFormat="1" x14ac:dyDescent="0.25">
      <c r="A1" s="555" t="str">
        <f>'Data 2006-08'!$A$1</f>
        <v>SP AusNet</v>
      </c>
      <c r="B1" s="96"/>
      <c r="D1" s="46">
        <v>2009</v>
      </c>
      <c r="E1" s="47">
        <v>2010</v>
      </c>
      <c r="F1" s="47">
        <v>2011</v>
      </c>
      <c r="G1" s="47">
        <v>2012</v>
      </c>
      <c r="H1" s="47">
        <v>2013</v>
      </c>
      <c r="I1" s="47">
        <v>2014</v>
      </c>
      <c r="J1" s="48">
        <v>2015</v>
      </c>
      <c r="K1" s="56"/>
      <c r="L1" s="21"/>
      <c r="M1" s="21"/>
      <c r="N1" s="21"/>
      <c r="O1" s="4">
        <f>H1</f>
        <v>2013</v>
      </c>
      <c r="P1" s="5">
        <f>I1</f>
        <v>2014</v>
      </c>
      <c r="Q1" s="6">
        <f>J1</f>
        <v>2015</v>
      </c>
    </row>
    <row r="2" spans="1:17" s="1" customFormat="1" ht="13.8" x14ac:dyDescent="0.25">
      <c r="A2" s="30"/>
      <c r="B2" s="95"/>
      <c r="C2" s="2"/>
      <c r="D2" s="65" t="s">
        <v>6</v>
      </c>
      <c r="E2" s="66" t="s">
        <v>6</v>
      </c>
      <c r="F2" s="66" t="s">
        <v>6</v>
      </c>
      <c r="G2" s="66" t="s">
        <v>6</v>
      </c>
      <c r="H2" s="66" t="s">
        <v>6</v>
      </c>
      <c r="I2" s="66" t="s">
        <v>6</v>
      </c>
      <c r="J2" s="67" t="s">
        <v>6</v>
      </c>
      <c r="K2" s="110"/>
      <c r="L2" s="21"/>
      <c r="M2" s="21"/>
      <c r="N2" s="21"/>
      <c r="O2" s="731"/>
      <c r="P2" s="2"/>
      <c r="Q2" s="732"/>
    </row>
    <row r="3" spans="1:17" s="1" customFormat="1" ht="15.6" x14ac:dyDescent="0.3">
      <c r="A3" s="72" t="s">
        <v>392</v>
      </c>
      <c r="B3" s="452"/>
      <c r="C3" s="2"/>
      <c r="D3" s="702" t="s">
        <v>20</v>
      </c>
      <c r="E3" s="703" t="s">
        <v>20</v>
      </c>
      <c r="F3" s="703" t="s">
        <v>20</v>
      </c>
      <c r="G3" s="703" t="s">
        <v>20</v>
      </c>
      <c r="H3" s="703" t="s">
        <v>20</v>
      </c>
      <c r="I3" s="63" t="s">
        <v>18</v>
      </c>
      <c r="J3" s="64" t="s">
        <v>18</v>
      </c>
      <c r="K3" s="110"/>
      <c r="L3" s="21"/>
      <c r="M3" s="21"/>
      <c r="N3" s="21"/>
      <c r="O3" s="62" t="str">
        <f>H3</f>
        <v>Actual</v>
      </c>
      <c r="P3" s="63" t="str">
        <f>I3</f>
        <v>Forecast</v>
      </c>
      <c r="Q3" s="64" t="str">
        <f>J3</f>
        <v>Forecast</v>
      </c>
    </row>
    <row r="4" spans="1:17" s="1" customFormat="1" ht="15.6" x14ac:dyDescent="0.3">
      <c r="B4" s="96"/>
      <c r="C4" s="41"/>
      <c r="D4" s="42"/>
      <c r="E4" s="42"/>
      <c r="F4" s="42"/>
      <c r="G4" s="42"/>
      <c r="H4" s="42"/>
      <c r="I4" s="42"/>
      <c r="J4" s="42"/>
      <c r="K4" s="42"/>
      <c r="L4" s="21"/>
      <c r="M4" s="2"/>
      <c r="N4" s="2"/>
      <c r="O4" s="2"/>
    </row>
    <row r="5" spans="1:17" s="1" customFormat="1" ht="15.6" x14ac:dyDescent="0.3">
      <c r="A5" s="97" t="s">
        <v>404</v>
      </c>
      <c r="B5" s="452"/>
      <c r="C5" s="2"/>
      <c r="D5" s="2"/>
      <c r="E5" s="2"/>
      <c r="F5" s="2"/>
      <c r="G5" s="2"/>
      <c r="H5" s="2"/>
      <c r="I5" s="2"/>
      <c r="J5" s="2"/>
      <c r="K5" s="2"/>
      <c r="L5" s="21"/>
      <c r="M5" s="21"/>
      <c r="N5" s="21"/>
      <c r="O5" s="21"/>
    </row>
    <row r="6" spans="1:17" s="1" customFormat="1" x14ac:dyDescent="0.25">
      <c r="A6" s="3"/>
      <c r="B6" s="93"/>
      <c r="C6" s="2"/>
      <c r="D6" s="2"/>
      <c r="E6" s="2"/>
      <c r="F6" s="2"/>
      <c r="G6" s="2"/>
      <c r="H6" s="2"/>
      <c r="I6" s="2"/>
      <c r="J6" s="2"/>
      <c r="K6" s="2"/>
      <c r="L6" s="2"/>
      <c r="M6" s="21"/>
      <c r="N6" s="21"/>
      <c r="O6" s="21"/>
    </row>
    <row r="7" spans="1:17" s="1" customFormat="1" x14ac:dyDescent="0.25">
      <c r="A7" s="3"/>
      <c r="B7" s="60"/>
      <c r="C7" s="2"/>
      <c r="D7" s="46">
        <v>2009</v>
      </c>
      <c r="E7" s="47">
        <v>2010</v>
      </c>
      <c r="F7" s="47">
        <v>2011</v>
      </c>
      <c r="G7" s="47">
        <f>G$1</f>
        <v>2012</v>
      </c>
      <c r="H7" s="47">
        <f>H$1</f>
        <v>2013</v>
      </c>
      <c r="I7" s="47">
        <f>I$1</f>
        <v>2014</v>
      </c>
      <c r="J7" s="48">
        <f>J$1</f>
        <v>2015</v>
      </c>
      <c r="K7" s="56"/>
      <c r="L7" s="2"/>
      <c r="M7" s="21"/>
      <c r="N7" s="21"/>
      <c r="O7" s="21"/>
    </row>
    <row r="8" spans="1:17" s="1" customFormat="1" x14ac:dyDescent="0.25">
      <c r="A8" s="43" t="s">
        <v>37</v>
      </c>
      <c r="B8" s="85"/>
      <c r="C8" s="33" t="s">
        <v>7</v>
      </c>
      <c r="D8" s="49" t="str">
        <f t="shared" ref="D8:J8" si="0">D$2</f>
        <v>Real 2008 $</v>
      </c>
      <c r="E8" s="50" t="str">
        <f t="shared" si="0"/>
        <v>Real 2008 $</v>
      </c>
      <c r="F8" s="50" t="str">
        <f t="shared" si="0"/>
        <v>Real 2008 $</v>
      </c>
      <c r="G8" s="50" t="str">
        <f t="shared" si="0"/>
        <v>Real 2008 $</v>
      </c>
      <c r="H8" s="50" t="str">
        <f t="shared" si="0"/>
        <v>Real 2008 $</v>
      </c>
      <c r="I8" s="50" t="str">
        <f t="shared" si="0"/>
        <v>Real 2008 $</v>
      </c>
      <c r="J8" s="51" t="str">
        <f t="shared" si="0"/>
        <v>Real 2008 $</v>
      </c>
      <c r="K8" s="110"/>
      <c r="L8" s="2"/>
      <c r="M8" s="21"/>
      <c r="N8" s="21"/>
      <c r="O8" s="21"/>
    </row>
    <row r="9" spans="1:17" s="1" customFormat="1" x14ac:dyDescent="0.25">
      <c r="A9" s="7"/>
      <c r="B9" s="86"/>
      <c r="C9" s="99" t="s">
        <v>8</v>
      </c>
      <c r="D9" s="52" t="str">
        <f t="shared" ref="D9:J9" si="1">D$3</f>
        <v>Actual</v>
      </c>
      <c r="E9" s="53" t="str">
        <f t="shared" si="1"/>
        <v>Actual</v>
      </c>
      <c r="F9" s="53" t="str">
        <f t="shared" si="1"/>
        <v>Actual</v>
      </c>
      <c r="G9" s="53" t="str">
        <f t="shared" si="1"/>
        <v>Actual</v>
      </c>
      <c r="H9" s="53" t="str">
        <f t="shared" si="1"/>
        <v>Actual</v>
      </c>
      <c r="I9" s="53" t="str">
        <f t="shared" si="1"/>
        <v>Forecast</v>
      </c>
      <c r="J9" s="728" t="str">
        <f t="shared" si="1"/>
        <v>Forecast</v>
      </c>
      <c r="K9" s="110"/>
      <c r="L9" s="2"/>
      <c r="M9" s="21"/>
      <c r="N9" s="21"/>
      <c r="O9" s="21"/>
    </row>
    <row r="10" spans="1:17" s="1" customFormat="1" x14ac:dyDescent="0.25">
      <c r="A10" s="85" t="s">
        <v>42</v>
      </c>
      <c r="B10" s="85"/>
      <c r="C10" s="106" t="str">
        <f>"Depreciated by end of  "&amp;'Data 2006-08'!$C$34&amp;""</f>
        <v>Depreciated by end of  2013</v>
      </c>
      <c r="D10" s="765">
        <f>'Data 2009-12'!D10/D$145</f>
        <v>5374639.4694873495</v>
      </c>
      <c r="E10" s="766">
        <f>'Data 2009-12'!E10/E$145</f>
        <v>5330545.8062409386</v>
      </c>
      <c r="F10" s="766">
        <f>'Data 2009-12'!F10/F$145</f>
        <v>223302.94287362954</v>
      </c>
      <c r="G10" s="766">
        <f>'Data 2009-12'!G10/G$145</f>
        <v>595948.63909495482</v>
      </c>
      <c r="H10" s="766">
        <f>'DNSP Data Inputs 2013-15'!H10/$H$145</f>
        <v>0</v>
      </c>
      <c r="I10" s="766">
        <f>'DNSP Data Inputs 2013-15'!I10/$I$145</f>
        <v>0</v>
      </c>
      <c r="J10" s="767">
        <f>'DNSP Data Inputs 2013-15'!J10/$I$145</f>
        <v>0</v>
      </c>
      <c r="K10" s="119"/>
      <c r="L10" s="2"/>
      <c r="M10" s="21"/>
      <c r="N10" s="21"/>
      <c r="O10" s="21"/>
    </row>
    <row r="11" spans="1:17" s="1" customFormat="1" x14ac:dyDescent="0.25">
      <c r="A11" s="84" t="s">
        <v>260</v>
      </c>
      <c r="B11" s="85"/>
      <c r="C11" s="316" t="str">
        <f>"Depreciated by end of  "&amp;'Data 2006-08'!$C$34&amp;""</f>
        <v>Depreciated by end of  2013</v>
      </c>
      <c r="D11" s="775">
        <f>'Data 2009-12'!D11/D$145</f>
        <v>4180326.2409206815</v>
      </c>
      <c r="E11" s="776">
        <f>'Data 2009-12'!E11/E$145</f>
        <v>5555121.1708104815</v>
      </c>
      <c r="F11" s="776">
        <f>'Data 2009-12'!F11/F$145</f>
        <v>5491.0559723023653</v>
      </c>
      <c r="G11" s="776">
        <f>'Data 2009-12'!G11/G$145</f>
        <v>61493.315252872831</v>
      </c>
      <c r="H11" s="766">
        <f>'DNSP Data Inputs 2013-15'!H11/$H$145</f>
        <v>0</v>
      </c>
      <c r="I11" s="766">
        <f>'DNSP Data Inputs 2013-15'!I11/$I$145</f>
        <v>0</v>
      </c>
      <c r="J11" s="767">
        <f>'DNSP Data Inputs 2013-15'!J11/$I$145</f>
        <v>0</v>
      </c>
      <c r="K11" s="119"/>
      <c r="L11" s="2"/>
      <c r="M11" s="21"/>
      <c r="N11" s="21"/>
      <c r="O11" s="21"/>
    </row>
    <row r="12" spans="1:17" s="1" customFormat="1" x14ac:dyDescent="0.25">
      <c r="A12" s="318" t="str">
        <f>A$154</f>
        <v>Remotely read interval meters &amp; transformers</v>
      </c>
      <c r="B12" s="85"/>
      <c r="C12" s="316">
        <f>C154</f>
        <v>15</v>
      </c>
      <c r="D12" s="775">
        <f>'Data 2009-12'!D12/D$145</f>
        <v>1159830.216960961</v>
      </c>
      <c r="E12" s="776">
        <f>'Data 2009-12'!E12/E$145</f>
        <v>27930710.455013078</v>
      </c>
      <c r="F12" s="776">
        <f>'Data 2009-12'!F12/F$145</f>
        <v>73445619.157530293</v>
      </c>
      <c r="G12" s="776">
        <f>'Data 2009-12'!G12/G$145</f>
        <v>80111884.399314359</v>
      </c>
      <c r="H12" s="766">
        <f>'DNSP Data Inputs 2013-15'!H12/$H$145</f>
        <v>81918832.412679613</v>
      </c>
      <c r="I12" s="766">
        <f>'DNSP Data Inputs 2013-15'!I12/$I$145</f>
        <v>32399118.895986628</v>
      </c>
      <c r="J12" s="767">
        <f>'DNSP Data Inputs 2013-15'!J12/$I$145</f>
        <v>5213307.6472824458</v>
      </c>
      <c r="K12" s="19"/>
      <c r="L12" s="2"/>
      <c r="M12" s="21"/>
      <c r="N12" s="21"/>
      <c r="O12" s="21"/>
    </row>
    <row r="13" spans="1:17" s="1" customFormat="1" x14ac:dyDescent="0.25">
      <c r="A13" s="318" t="str">
        <f>A$155</f>
        <v>IT</v>
      </c>
      <c r="B13" s="85"/>
      <c r="C13" s="316">
        <f>C155</f>
        <v>7</v>
      </c>
      <c r="D13" s="775">
        <f>'Data 2009-12'!D13/D$145</f>
        <v>25201355.539974093</v>
      </c>
      <c r="E13" s="776">
        <f>'Data 2009-12'!E13/E$145</f>
        <v>36524471.515568078</v>
      </c>
      <c r="F13" s="776">
        <f>'Data 2009-12'!F13/F$145</f>
        <v>21261434.569870315</v>
      </c>
      <c r="G13" s="776">
        <f>'Data 2009-12'!G13/G$145</f>
        <v>21785439.711631406</v>
      </c>
      <c r="H13" s="766">
        <f>'DNSP Data Inputs 2013-15'!H13/$H$145</f>
        <v>7831804.5605887966</v>
      </c>
      <c r="I13" s="766">
        <f>'DNSP Data Inputs 2013-15'!I13/$I$145</f>
        <v>15009573.680214638</v>
      </c>
      <c r="J13" s="767">
        <f>'DNSP Data Inputs 2013-15'!J13/$I$145</f>
        <v>34810673.000548355</v>
      </c>
      <c r="K13" s="15"/>
      <c r="L13" s="2"/>
      <c r="M13" s="21"/>
      <c r="N13" s="21"/>
      <c r="O13" s="21"/>
    </row>
    <row r="14" spans="1:17" s="1" customFormat="1" x14ac:dyDescent="0.25">
      <c r="A14" s="318" t="str">
        <f>A$156</f>
        <v>Communications</v>
      </c>
      <c r="B14" s="88"/>
      <c r="C14" s="316">
        <f>C156</f>
        <v>7</v>
      </c>
      <c r="D14" s="775">
        <f>'Data 2009-12'!D14/D$145</f>
        <v>846395.41906306311</v>
      </c>
      <c r="E14" s="776">
        <f>'Data 2009-12'!E14/E$145</f>
        <v>8237479.2122182706</v>
      </c>
      <c r="F14" s="776">
        <f>'Data 2009-12'!F14/F$145</f>
        <v>8199395.0680438532</v>
      </c>
      <c r="G14" s="776">
        <f>'Data 2009-12'!G14/G$145</f>
        <v>21954545.919275366</v>
      </c>
      <c r="H14" s="766">
        <f>'DNSP Data Inputs 2013-15'!H14/$H$145</f>
        <v>16309185.241853025</v>
      </c>
      <c r="I14" s="766">
        <f>'DNSP Data Inputs 2013-15'!I14/$I$145</f>
        <v>3798782.5618668883</v>
      </c>
      <c r="J14" s="767">
        <f>'DNSP Data Inputs 2013-15'!J14/$I$145</f>
        <v>7847741.0457597449</v>
      </c>
      <c r="K14" s="15"/>
      <c r="L14" s="2"/>
      <c r="M14" s="21"/>
      <c r="N14" s="21"/>
      <c r="O14" s="21"/>
    </row>
    <row r="15" spans="1:17" s="1" customFormat="1" x14ac:dyDescent="0.25">
      <c r="A15" s="318" t="str">
        <f>A$157</f>
        <v>Other</v>
      </c>
      <c r="B15" s="85"/>
      <c r="C15" s="107">
        <f>C157</f>
        <v>7</v>
      </c>
      <c r="D15" s="775">
        <f>'Data 2009-12'!D15/D$145</f>
        <v>0</v>
      </c>
      <c r="E15" s="776">
        <f>'Data 2009-12'!E15/E$145</f>
        <v>0</v>
      </c>
      <c r="F15" s="776">
        <f>'Data 2009-12'!F15/F$145</f>
        <v>0</v>
      </c>
      <c r="G15" s="776">
        <f>'Data 2009-12'!G15/G$145</f>
        <v>0</v>
      </c>
      <c r="H15" s="766">
        <f>'DNSP Data Inputs 2013-15'!H15/$H$145</f>
        <v>0</v>
      </c>
      <c r="I15" s="766">
        <f>'DNSP Data Inputs 2013-15'!I15/$I$145</f>
        <v>0</v>
      </c>
      <c r="J15" s="767">
        <f>'DNSP Data Inputs 2013-15'!J15/$I$145</f>
        <v>0</v>
      </c>
      <c r="K15" s="15"/>
      <c r="L15" s="2"/>
      <c r="M15" s="21"/>
      <c r="N15" s="21"/>
      <c r="O15" s="21"/>
    </row>
    <row r="16" spans="1:17" s="1" customFormat="1" ht="13.8" thickBot="1" x14ac:dyDescent="0.3">
      <c r="A16" s="88" t="s">
        <v>45</v>
      </c>
      <c r="B16" s="85"/>
      <c r="C16" s="2"/>
      <c r="D16" s="11">
        <f t="shared" ref="D16:J16" si="2">SUM(D10:D15)</f>
        <v>36762546.886406146</v>
      </c>
      <c r="E16" s="12">
        <f t="shared" si="2"/>
        <v>83578328.159850851</v>
      </c>
      <c r="F16" s="12">
        <f t="shared" si="2"/>
        <v>103135242.79429039</v>
      </c>
      <c r="G16" s="12">
        <f t="shared" si="2"/>
        <v>124509311.98456895</v>
      </c>
      <c r="H16" s="12">
        <f t="shared" si="2"/>
        <v>106059822.21512143</v>
      </c>
      <c r="I16" s="12">
        <f t="shared" si="2"/>
        <v>51207475.138068154</v>
      </c>
      <c r="J16" s="13">
        <f t="shared" si="2"/>
        <v>47871721.693590544</v>
      </c>
      <c r="K16" s="15"/>
      <c r="L16" s="2"/>
      <c r="M16" s="21"/>
      <c r="N16" s="21"/>
      <c r="O16" s="21"/>
    </row>
    <row r="17" spans="1:15" s="1" customFormat="1" ht="13.8" thickTop="1" x14ac:dyDescent="0.25">
      <c r="A17" s="14"/>
      <c r="B17" s="91"/>
      <c r="C17" s="2"/>
      <c r="D17" s="15"/>
      <c r="E17" s="15"/>
      <c r="F17" s="15"/>
      <c r="G17" s="15"/>
      <c r="H17" s="15"/>
      <c r="I17" s="15"/>
      <c r="J17" s="15"/>
      <c r="K17" s="15"/>
      <c r="L17" s="2"/>
      <c r="M17" s="21"/>
      <c r="N17" s="21"/>
      <c r="O17" s="21"/>
    </row>
    <row r="18" spans="1:15" s="1" customFormat="1" x14ac:dyDescent="0.25">
      <c r="A18" s="320"/>
      <c r="B18" s="433"/>
      <c r="C18" s="2"/>
      <c r="D18" s="15"/>
      <c r="E18" s="15"/>
      <c r="F18" s="15"/>
      <c r="G18" s="15"/>
      <c r="H18" s="15"/>
      <c r="I18" s="15"/>
      <c r="J18" s="15"/>
      <c r="K18" s="15"/>
      <c r="L18" s="2"/>
      <c r="M18" s="21"/>
      <c r="N18" s="21"/>
      <c r="O18" s="21"/>
    </row>
    <row r="19" spans="1:15" s="1" customFormat="1" x14ac:dyDescent="0.25">
      <c r="A19" s="320"/>
      <c r="B19" s="85"/>
      <c r="C19" s="2"/>
      <c r="D19" s="46">
        <v>2009</v>
      </c>
      <c r="E19" s="47">
        <v>2010</v>
      </c>
      <c r="F19" s="47">
        <v>2011</v>
      </c>
      <c r="G19" s="47">
        <f>G$1</f>
        <v>2012</v>
      </c>
      <c r="H19" s="47">
        <f>H$1</f>
        <v>2013</v>
      </c>
      <c r="I19" s="47">
        <f>I$1</f>
        <v>2014</v>
      </c>
      <c r="J19" s="48">
        <f>J$1</f>
        <v>2015</v>
      </c>
      <c r="K19" s="15"/>
      <c r="L19" s="2"/>
      <c r="M19" s="21"/>
      <c r="N19" s="21"/>
      <c r="O19" s="21"/>
    </row>
    <row r="20" spans="1:15" s="1" customFormat="1" x14ac:dyDescent="0.25">
      <c r="A20" s="320"/>
      <c r="B20" s="85"/>
      <c r="C20" s="308" t="s">
        <v>276</v>
      </c>
      <c r="D20" s="49" t="str">
        <f t="shared" ref="D20:J20" si="3">D$2</f>
        <v>Real 2008 $</v>
      </c>
      <c r="E20" s="50" t="str">
        <f t="shared" si="3"/>
        <v>Real 2008 $</v>
      </c>
      <c r="F20" s="50" t="str">
        <f t="shared" si="3"/>
        <v>Real 2008 $</v>
      </c>
      <c r="G20" s="50" t="str">
        <f t="shared" si="3"/>
        <v>Real 2008 $</v>
      </c>
      <c r="H20" s="50" t="str">
        <f t="shared" si="3"/>
        <v>Real 2008 $</v>
      </c>
      <c r="I20" s="50" t="str">
        <f t="shared" si="3"/>
        <v>Real 2008 $</v>
      </c>
      <c r="J20" s="51" t="str">
        <f t="shared" si="3"/>
        <v>Real 2008 $</v>
      </c>
      <c r="K20" s="15"/>
      <c r="L20" s="2"/>
      <c r="M20" s="21"/>
      <c r="N20" s="21"/>
      <c r="O20" s="21"/>
    </row>
    <row r="21" spans="1:15" s="1" customFormat="1" x14ac:dyDescent="0.25">
      <c r="A21" s="74" t="s">
        <v>47</v>
      </c>
      <c r="B21" s="91"/>
      <c r="C21" s="321" t="s">
        <v>48</v>
      </c>
      <c r="D21" s="52" t="str">
        <f t="shared" ref="D21:J21" si="4">D$3</f>
        <v>Actual</v>
      </c>
      <c r="E21" s="53" t="str">
        <f t="shared" si="4"/>
        <v>Actual</v>
      </c>
      <c r="F21" s="53" t="str">
        <f t="shared" si="4"/>
        <v>Actual</v>
      </c>
      <c r="G21" s="53" t="str">
        <f t="shared" si="4"/>
        <v>Actual</v>
      </c>
      <c r="H21" s="53" t="str">
        <f t="shared" si="4"/>
        <v>Actual</v>
      </c>
      <c r="I21" s="53" t="str">
        <f t="shared" si="4"/>
        <v>Forecast</v>
      </c>
      <c r="J21" s="728" t="str">
        <f t="shared" si="4"/>
        <v>Forecast</v>
      </c>
      <c r="K21" s="15"/>
      <c r="L21" s="2"/>
      <c r="M21" s="21"/>
      <c r="N21" s="21"/>
      <c r="O21" s="21"/>
    </row>
    <row r="22" spans="1:15" s="1" customFormat="1" x14ac:dyDescent="0.25">
      <c r="A22" s="84" t="str">
        <f>A$162</f>
        <v>Meters and transformers (Group 1) (Unit cost &lt; $1,000)</v>
      </c>
      <c r="B22" s="91"/>
      <c r="C22" s="322">
        <f>C162</f>
        <v>0.375</v>
      </c>
      <c r="D22" s="325">
        <f t="shared" ref="D22:J22" si="5">SUM(D10:D12)-D23</f>
        <v>10714795.927368993</v>
      </c>
      <c r="E22" s="19">
        <f t="shared" si="5"/>
        <v>38816377.432064496</v>
      </c>
      <c r="F22" s="19">
        <f t="shared" si="5"/>
        <v>73674413.156376228</v>
      </c>
      <c r="G22" s="19">
        <f t="shared" si="5"/>
        <v>80769326.353662193</v>
      </c>
      <c r="H22" s="19">
        <f t="shared" si="5"/>
        <v>81918832.412679613</v>
      </c>
      <c r="I22" s="19">
        <f t="shared" si="5"/>
        <v>32399118.895986628</v>
      </c>
      <c r="J22" s="326">
        <f t="shared" si="5"/>
        <v>5213307.6472824458</v>
      </c>
      <c r="K22" s="15"/>
      <c r="L22" s="2"/>
      <c r="M22" s="21"/>
      <c r="N22" s="21"/>
      <c r="O22" s="21"/>
    </row>
    <row r="23" spans="1:15" s="1" customFormat="1" x14ac:dyDescent="0.25">
      <c r="A23" s="84" t="str">
        <f>A$163</f>
        <v>Meters and transformers (Group 2) (Unit cost =&gt; $1,000)</v>
      </c>
      <c r="B23" s="88"/>
      <c r="C23" s="323">
        <f>C163</f>
        <v>0.06</v>
      </c>
      <c r="D23" s="775">
        <f>'Data 2009-12'!D23/D$145</f>
        <v>0</v>
      </c>
      <c r="E23" s="776">
        <f>'Data 2009-12'!E23/E$145</f>
        <v>0</v>
      </c>
      <c r="F23" s="776">
        <f>'Data 2009-12'!F23/F$145</f>
        <v>0</v>
      </c>
      <c r="G23" s="776">
        <f>'Data 2009-12'!G23/G$145</f>
        <v>0</v>
      </c>
      <c r="H23" s="766">
        <f>'DNSP Data Inputs 2013-15'!H23/$H$145</f>
        <v>0</v>
      </c>
      <c r="I23" s="766">
        <f>'DNSP Data Inputs 2013-15'!I23/$I$145</f>
        <v>0</v>
      </c>
      <c r="J23" s="767">
        <f>'DNSP Data Inputs 2013-15'!J23/$I$145</f>
        <v>0</v>
      </c>
      <c r="K23" s="15"/>
      <c r="L23" s="2"/>
      <c r="M23" s="21"/>
      <c r="N23" s="21"/>
      <c r="O23" s="21"/>
    </row>
    <row r="24" spans="1:15" s="1" customFormat="1" x14ac:dyDescent="0.25">
      <c r="A24" s="84" t="str">
        <f>A$164</f>
        <v>IT</v>
      </c>
      <c r="B24" s="85"/>
      <c r="C24" s="323">
        <f>C164</f>
        <v>0.4</v>
      </c>
      <c r="D24" s="325">
        <f t="shared" ref="D24:F26" si="6">D13</f>
        <v>25201355.539974093</v>
      </c>
      <c r="E24" s="19">
        <f t="shared" si="6"/>
        <v>36524471.515568078</v>
      </c>
      <c r="F24" s="19">
        <f t="shared" si="6"/>
        <v>21261434.569870315</v>
      </c>
      <c r="G24" s="19">
        <f t="shared" ref="G24:J26" si="7">G13</f>
        <v>21785439.711631406</v>
      </c>
      <c r="H24" s="19">
        <f t="shared" si="7"/>
        <v>7831804.5605887966</v>
      </c>
      <c r="I24" s="19">
        <f t="shared" si="7"/>
        <v>15009573.680214638</v>
      </c>
      <c r="J24" s="326">
        <f t="shared" si="7"/>
        <v>34810673.000548355</v>
      </c>
      <c r="K24" s="15"/>
      <c r="L24" s="2"/>
      <c r="M24" s="21"/>
      <c r="N24" s="21"/>
      <c r="O24" s="21"/>
    </row>
    <row r="25" spans="1:15" s="1" customFormat="1" x14ac:dyDescent="0.25">
      <c r="A25" s="84" t="str">
        <f>A$165</f>
        <v>Communications</v>
      </c>
      <c r="B25" s="85"/>
      <c r="C25" s="323">
        <f>C165</f>
        <v>0.21428571428571427</v>
      </c>
      <c r="D25" s="325">
        <f t="shared" si="6"/>
        <v>846395.41906306311</v>
      </c>
      <c r="E25" s="19">
        <f t="shared" si="6"/>
        <v>8237479.2122182706</v>
      </c>
      <c r="F25" s="19">
        <f t="shared" si="6"/>
        <v>8199395.0680438532</v>
      </c>
      <c r="G25" s="19">
        <f t="shared" si="7"/>
        <v>21954545.919275366</v>
      </c>
      <c r="H25" s="19">
        <f t="shared" si="7"/>
        <v>16309185.241853025</v>
      </c>
      <c r="I25" s="19">
        <f t="shared" si="7"/>
        <v>3798782.5618668883</v>
      </c>
      <c r="J25" s="326">
        <f t="shared" si="7"/>
        <v>7847741.0457597449</v>
      </c>
      <c r="K25" s="15"/>
      <c r="L25" s="2"/>
      <c r="M25" s="21"/>
      <c r="N25" s="21"/>
      <c r="O25" s="21"/>
    </row>
    <row r="26" spans="1:15" s="1" customFormat="1" x14ac:dyDescent="0.25">
      <c r="A26" s="87" t="str">
        <f>A$166</f>
        <v>Other</v>
      </c>
      <c r="B26" s="85"/>
      <c r="C26" s="324">
        <f>C166</f>
        <v>0.1764705882352941</v>
      </c>
      <c r="D26" s="325">
        <f t="shared" si="6"/>
        <v>0</v>
      </c>
      <c r="E26" s="19">
        <f t="shared" si="6"/>
        <v>0</v>
      </c>
      <c r="F26" s="19">
        <f t="shared" si="6"/>
        <v>0</v>
      </c>
      <c r="G26" s="19">
        <f t="shared" si="7"/>
        <v>0</v>
      </c>
      <c r="H26" s="19">
        <f t="shared" si="7"/>
        <v>0</v>
      </c>
      <c r="I26" s="19">
        <f t="shared" si="7"/>
        <v>0</v>
      </c>
      <c r="J26" s="326">
        <f t="shared" si="7"/>
        <v>0</v>
      </c>
      <c r="K26" s="15"/>
      <c r="L26" s="2"/>
      <c r="M26" s="21"/>
      <c r="N26" s="21"/>
      <c r="O26" s="21"/>
    </row>
    <row r="27" spans="1:15" s="1" customFormat="1" ht="13.8" thickBot="1" x14ac:dyDescent="0.3">
      <c r="A27" s="88" t="s">
        <v>45</v>
      </c>
      <c r="B27" s="60"/>
      <c r="C27" s="2"/>
      <c r="D27" s="11">
        <f t="shared" ref="D27:J27" si="8">SUM(D21:D26)</f>
        <v>36762546.886406146</v>
      </c>
      <c r="E27" s="12">
        <f t="shared" si="8"/>
        <v>83578328.159850851</v>
      </c>
      <c r="F27" s="12">
        <f t="shared" si="8"/>
        <v>103135242.79429039</v>
      </c>
      <c r="G27" s="12">
        <f t="shared" si="8"/>
        <v>124509311.98456895</v>
      </c>
      <c r="H27" s="12">
        <f t="shared" si="8"/>
        <v>106059822.21512143</v>
      </c>
      <c r="I27" s="12">
        <f t="shared" si="8"/>
        <v>51207475.138068154</v>
      </c>
      <c r="J27" s="13">
        <f t="shared" si="8"/>
        <v>47871721.693590544</v>
      </c>
      <c r="K27" s="15"/>
      <c r="L27" s="2"/>
      <c r="M27" s="21"/>
      <c r="N27" s="21"/>
      <c r="O27" s="21"/>
    </row>
    <row r="28" spans="1:15" s="1" customFormat="1" ht="13.8" thickTop="1" x14ac:dyDescent="0.25">
      <c r="A28" s="14"/>
      <c r="B28" s="85"/>
      <c r="C28" s="2"/>
      <c r="D28" s="15"/>
      <c r="E28" s="15"/>
      <c r="F28" s="15"/>
      <c r="G28" s="15"/>
      <c r="H28" s="15"/>
      <c r="I28" s="15"/>
      <c r="J28" s="15"/>
      <c r="K28" s="15"/>
      <c r="L28" s="2"/>
      <c r="M28" s="21"/>
      <c r="N28" s="21"/>
      <c r="O28" s="21"/>
    </row>
    <row r="29" spans="1:15" s="1" customFormat="1" x14ac:dyDescent="0.25">
      <c r="A29" s="14"/>
      <c r="B29" s="85"/>
      <c r="C29" s="2"/>
      <c r="D29" s="15"/>
      <c r="E29" s="15"/>
      <c r="F29" s="15"/>
      <c r="G29" s="15"/>
      <c r="H29" s="15"/>
      <c r="I29" s="15"/>
      <c r="J29" s="15"/>
      <c r="K29" s="15"/>
      <c r="L29" s="2"/>
      <c r="M29" s="21"/>
      <c r="N29" s="21"/>
      <c r="O29" s="21"/>
    </row>
    <row r="30" spans="1:15" s="1" customFormat="1" x14ac:dyDescent="0.25">
      <c r="A30" s="14"/>
      <c r="B30" s="85"/>
      <c r="C30" s="2"/>
      <c r="D30" s="4">
        <v>2009</v>
      </c>
      <c r="E30" s="5">
        <v>2010</v>
      </c>
      <c r="F30" s="5">
        <v>2011</v>
      </c>
      <c r="G30" s="47">
        <f>G$1</f>
        <v>2012</v>
      </c>
      <c r="H30" s="47">
        <f>H$1</f>
        <v>2013</v>
      </c>
      <c r="I30" s="47">
        <f>I$1</f>
        <v>2014</v>
      </c>
      <c r="J30" s="48">
        <f>J$1</f>
        <v>2015</v>
      </c>
      <c r="K30" s="56"/>
      <c r="L30" s="2"/>
      <c r="M30" s="21"/>
      <c r="N30" s="21"/>
      <c r="O30" s="21"/>
    </row>
    <row r="31" spans="1:15" x14ac:dyDescent="0.25">
      <c r="A31" s="43" t="s">
        <v>3</v>
      </c>
      <c r="C31" s="2"/>
      <c r="D31" s="49" t="str">
        <f t="shared" ref="D31:J31" si="9">D$2</f>
        <v>Real 2008 $</v>
      </c>
      <c r="E31" s="50" t="str">
        <f t="shared" si="9"/>
        <v>Real 2008 $</v>
      </c>
      <c r="F31" s="50" t="str">
        <f t="shared" si="9"/>
        <v>Real 2008 $</v>
      </c>
      <c r="G31" s="50" t="str">
        <f t="shared" si="9"/>
        <v>Real 2008 $</v>
      </c>
      <c r="H31" s="50" t="str">
        <f t="shared" si="9"/>
        <v>Real 2008 $</v>
      </c>
      <c r="I31" s="50" t="str">
        <f t="shared" si="9"/>
        <v>Real 2008 $</v>
      </c>
      <c r="J31" s="51" t="str">
        <f t="shared" si="9"/>
        <v>Real 2008 $</v>
      </c>
      <c r="K31" s="110"/>
      <c r="L31" s="2"/>
      <c r="M31" s="21"/>
      <c r="N31" s="21"/>
      <c r="O31" s="21"/>
    </row>
    <row r="32" spans="1:15" x14ac:dyDescent="0.25">
      <c r="A32" s="22"/>
      <c r="B32" s="55"/>
      <c r="C32" s="20"/>
      <c r="D32" s="52" t="str">
        <f t="shared" ref="D32:J32" si="10">D$3</f>
        <v>Actual</v>
      </c>
      <c r="E32" s="53" t="str">
        <f t="shared" si="10"/>
        <v>Actual</v>
      </c>
      <c r="F32" s="53" t="str">
        <f t="shared" si="10"/>
        <v>Actual</v>
      </c>
      <c r="G32" s="53" t="str">
        <f t="shared" si="10"/>
        <v>Actual</v>
      </c>
      <c r="H32" s="53" t="str">
        <f t="shared" si="10"/>
        <v>Actual</v>
      </c>
      <c r="I32" s="53" t="str">
        <f t="shared" si="10"/>
        <v>Forecast</v>
      </c>
      <c r="J32" s="728" t="str">
        <f t="shared" si="10"/>
        <v>Forecast</v>
      </c>
      <c r="K32" s="110"/>
      <c r="M32" s="21"/>
      <c r="N32" s="21"/>
      <c r="O32" s="21"/>
    </row>
    <row r="33" spans="1:15" x14ac:dyDescent="0.25">
      <c r="A33" s="38" t="s">
        <v>4</v>
      </c>
      <c r="C33" s="20"/>
      <c r="D33" s="35"/>
      <c r="E33" s="36"/>
      <c r="F33" s="36"/>
      <c r="G33" s="36"/>
      <c r="H33" s="36"/>
      <c r="I33" s="36"/>
      <c r="J33" s="37"/>
      <c r="K33" s="36"/>
      <c r="M33" s="21"/>
      <c r="N33" s="21"/>
      <c r="O33" s="21"/>
    </row>
    <row r="34" spans="1:15" x14ac:dyDescent="0.25">
      <c r="A34" s="85" t="str">
        <f t="shared" ref="A34:A39" si="11">A10</f>
        <v>Accumulation Meters</v>
      </c>
      <c r="C34" s="20"/>
      <c r="D34" s="771">
        <f>'Data 2009-12'!D34/D$145</f>
        <v>0</v>
      </c>
      <c r="E34" s="772">
        <f>'Data 2009-12'!E34/E$145</f>
        <v>0</v>
      </c>
      <c r="F34" s="772">
        <f>'Data 2009-12'!F34/F$145</f>
        <v>0</v>
      </c>
      <c r="G34" s="772">
        <f>'Data 2009-12'!G34/G$145</f>
        <v>0</v>
      </c>
      <c r="H34" s="766">
        <f>'DNSP Data Inputs 2013-15'!H34/$H$145</f>
        <v>0</v>
      </c>
      <c r="I34" s="766">
        <f>'DNSP Data Inputs 2013-15'!I34/$I$145</f>
        <v>0</v>
      </c>
      <c r="J34" s="767">
        <f>'DNSP Data Inputs 2013-15'!J34/$I$145</f>
        <v>0</v>
      </c>
      <c r="K34" s="36"/>
      <c r="M34" s="21"/>
      <c r="N34" s="21"/>
      <c r="O34" s="21"/>
    </row>
    <row r="35" spans="1:15" x14ac:dyDescent="0.25">
      <c r="A35" s="85" t="str">
        <f t="shared" si="11"/>
        <v>Manually read interval meters</v>
      </c>
      <c r="C35" s="20"/>
      <c r="D35" s="771">
        <f>'Data 2009-12'!D35/D$145</f>
        <v>0</v>
      </c>
      <c r="E35" s="772">
        <f>'Data 2009-12'!E35/E$145</f>
        <v>0</v>
      </c>
      <c r="F35" s="772">
        <f>'Data 2009-12'!F35/F$145</f>
        <v>0</v>
      </c>
      <c r="G35" s="772">
        <f>'Data 2009-12'!G35/G$145</f>
        <v>0</v>
      </c>
      <c r="H35" s="766">
        <f>'DNSP Data Inputs 2013-15'!H35/$H$145</f>
        <v>0</v>
      </c>
      <c r="I35" s="766">
        <f>'DNSP Data Inputs 2013-15'!I35/$I$145</f>
        <v>0</v>
      </c>
      <c r="J35" s="767">
        <f>'DNSP Data Inputs 2013-15'!J35/$I$145</f>
        <v>0</v>
      </c>
      <c r="K35" s="36"/>
      <c r="M35" s="21"/>
      <c r="N35" s="21"/>
      <c r="O35" s="21"/>
    </row>
    <row r="36" spans="1:15" x14ac:dyDescent="0.25">
      <c r="A36" s="85" t="str">
        <f t="shared" si="11"/>
        <v>Remotely read interval meters &amp; transformers</v>
      </c>
      <c r="C36" s="20"/>
      <c r="D36" s="771">
        <f>'Data 2009-12'!D36/D$145</f>
        <v>0</v>
      </c>
      <c r="E36" s="772">
        <f>'Data 2009-12'!E36/E$145</f>
        <v>0</v>
      </c>
      <c r="F36" s="772">
        <f>'Data 2009-12'!F36/F$145</f>
        <v>0</v>
      </c>
      <c r="G36" s="772">
        <f>'Data 2009-12'!G36/G$145</f>
        <v>0</v>
      </c>
      <c r="H36" s="766">
        <f>'DNSP Data Inputs 2013-15'!H36/$H$145</f>
        <v>0</v>
      </c>
      <c r="I36" s="766">
        <f>'DNSP Data Inputs 2013-15'!I36/$I$145</f>
        <v>0</v>
      </c>
      <c r="J36" s="767">
        <f>'DNSP Data Inputs 2013-15'!J36/$I$145</f>
        <v>0</v>
      </c>
      <c r="K36" s="36"/>
      <c r="M36" s="21"/>
      <c r="N36" s="21"/>
      <c r="O36" s="21"/>
    </row>
    <row r="37" spans="1:15" x14ac:dyDescent="0.25">
      <c r="A37" s="85" t="str">
        <f t="shared" si="11"/>
        <v>IT</v>
      </c>
      <c r="C37" s="20"/>
      <c r="D37" s="771">
        <f>'Data 2009-12'!D37/D$145</f>
        <v>0</v>
      </c>
      <c r="E37" s="772">
        <f>'Data 2009-12'!E37/E$145</f>
        <v>0</v>
      </c>
      <c r="F37" s="772">
        <f>'Data 2009-12'!F37/F$145</f>
        <v>0</v>
      </c>
      <c r="G37" s="772">
        <f>'Data 2009-12'!G37/G$145</f>
        <v>0</v>
      </c>
      <c r="H37" s="766">
        <f>'DNSP Data Inputs 2013-15'!H37/$H$145</f>
        <v>0</v>
      </c>
      <c r="I37" s="766">
        <f>'DNSP Data Inputs 2013-15'!I37/$I$145</f>
        <v>0</v>
      </c>
      <c r="J37" s="767">
        <f>'DNSP Data Inputs 2013-15'!J37/$I$145</f>
        <v>0</v>
      </c>
      <c r="K37" s="36"/>
      <c r="M37" s="21"/>
      <c r="N37" s="21"/>
      <c r="O37" s="21"/>
    </row>
    <row r="38" spans="1:15" x14ac:dyDescent="0.25">
      <c r="A38" s="85" t="str">
        <f t="shared" si="11"/>
        <v>Communications</v>
      </c>
      <c r="B38" s="453"/>
      <c r="C38" s="20"/>
      <c r="D38" s="771">
        <f>'Data 2009-12'!D38/D$145</f>
        <v>0</v>
      </c>
      <c r="E38" s="772">
        <f>'Data 2009-12'!E38/E$145</f>
        <v>0</v>
      </c>
      <c r="F38" s="772">
        <f>'Data 2009-12'!F38/F$145</f>
        <v>0</v>
      </c>
      <c r="G38" s="772">
        <f>'Data 2009-12'!G38/G$145</f>
        <v>0</v>
      </c>
      <c r="H38" s="766">
        <f>'DNSP Data Inputs 2013-15'!H38/$H$145</f>
        <v>0</v>
      </c>
      <c r="I38" s="766">
        <f>'DNSP Data Inputs 2013-15'!I38/$I$145</f>
        <v>0</v>
      </c>
      <c r="J38" s="767">
        <f>'DNSP Data Inputs 2013-15'!J38/$I$145</f>
        <v>0</v>
      </c>
      <c r="K38" s="36"/>
      <c r="M38" s="21"/>
      <c r="N38" s="21"/>
      <c r="O38" s="21"/>
    </row>
    <row r="39" spans="1:15" x14ac:dyDescent="0.25">
      <c r="A39" s="85" t="str">
        <f t="shared" si="11"/>
        <v>Other</v>
      </c>
      <c r="B39" s="454"/>
      <c r="C39" s="20"/>
      <c r="D39" s="771">
        <f>'Data 2009-12'!D39/D$145</f>
        <v>0</v>
      </c>
      <c r="E39" s="772">
        <f>'Data 2009-12'!E39/E$145</f>
        <v>0</v>
      </c>
      <c r="F39" s="772">
        <f>'Data 2009-12'!F39/F$145</f>
        <v>0</v>
      </c>
      <c r="G39" s="772">
        <f>'Data 2009-12'!G39/G$145</f>
        <v>0</v>
      </c>
      <c r="H39" s="766">
        <f>'DNSP Data Inputs 2013-15'!H39/$H$145</f>
        <v>0</v>
      </c>
      <c r="I39" s="766">
        <f>'DNSP Data Inputs 2013-15'!I39/$I$145</f>
        <v>0</v>
      </c>
      <c r="J39" s="767">
        <f>'DNSP Data Inputs 2013-15'!J39/$I$145</f>
        <v>0</v>
      </c>
      <c r="K39" s="36"/>
      <c r="M39" s="21"/>
      <c r="N39" s="21"/>
      <c r="O39" s="21"/>
    </row>
    <row r="40" spans="1:15" ht="13.8" thickBot="1" x14ac:dyDescent="0.3">
      <c r="A40" s="22"/>
      <c r="C40" s="20"/>
      <c r="D40" s="327">
        <f t="shared" ref="D40:J40" si="12">SUM(D34:D39)</f>
        <v>0</v>
      </c>
      <c r="E40" s="92">
        <f t="shared" ref="E40" si="13">SUM(E34:E39)</f>
        <v>0</v>
      </c>
      <c r="F40" s="92">
        <f t="shared" si="12"/>
        <v>0</v>
      </c>
      <c r="G40" s="92">
        <f t="shared" ref="G40" si="14">SUM(G34:G39)</f>
        <v>0</v>
      </c>
      <c r="H40" s="92">
        <f t="shared" si="12"/>
        <v>0</v>
      </c>
      <c r="I40" s="92">
        <f t="shared" si="12"/>
        <v>0</v>
      </c>
      <c r="J40" s="328">
        <f t="shared" si="12"/>
        <v>0</v>
      </c>
      <c r="K40" s="36"/>
      <c r="M40" s="21"/>
      <c r="N40" s="21"/>
      <c r="O40" s="21"/>
    </row>
    <row r="41" spans="1:15" ht="13.8" thickTop="1" x14ac:dyDescent="0.25">
      <c r="A41" s="22"/>
      <c r="C41" s="20"/>
      <c r="D41" s="329"/>
      <c r="E41" s="94"/>
      <c r="F41" s="94"/>
      <c r="G41" s="94"/>
      <c r="H41" s="94"/>
      <c r="I41" s="94"/>
      <c r="J41" s="330"/>
      <c r="K41" s="36"/>
      <c r="M41" s="21"/>
      <c r="N41" s="21"/>
      <c r="O41" s="21"/>
    </row>
    <row r="42" spans="1:15" x14ac:dyDescent="0.25">
      <c r="A42" s="38" t="s">
        <v>5</v>
      </c>
      <c r="C42" s="20"/>
      <c r="D42" s="23"/>
      <c r="E42" s="20"/>
      <c r="F42" s="20"/>
      <c r="G42" s="20"/>
      <c r="H42" s="20"/>
      <c r="I42" s="20"/>
      <c r="J42" s="729"/>
      <c r="K42" s="2"/>
      <c r="M42" s="2"/>
      <c r="N42" s="2"/>
      <c r="O42" s="2"/>
    </row>
    <row r="43" spans="1:15" x14ac:dyDescent="0.25">
      <c r="A43" s="85" t="str">
        <f t="shared" ref="A43:A48" si="15">A10</f>
        <v>Accumulation Meters</v>
      </c>
      <c r="C43" s="20"/>
      <c r="D43" s="771">
        <f>'Data 2009-12'!D43/D$145</f>
        <v>0</v>
      </c>
      <c r="E43" s="772">
        <f>'Data 2009-12'!E43/E$145</f>
        <v>0</v>
      </c>
      <c r="F43" s="772">
        <f>'Data 2009-12'!F43/F$145</f>
        <v>0</v>
      </c>
      <c r="G43" s="772">
        <f>'Data 2009-12'!G43/G$145</f>
        <v>0</v>
      </c>
      <c r="H43" s="766">
        <f>'DNSP Data Inputs 2013-15'!H43/$H$145</f>
        <v>0</v>
      </c>
      <c r="I43" s="766">
        <f>'DNSP Data Inputs 2013-15'!I43/$I$145</f>
        <v>0</v>
      </c>
      <c r="J43" s="767">
        <f>'DNSP Data Inputs 2013-15'!J43/$I$145</f>
        <v>0</v>
      </c>
      <c r="K43" s="36"/>
      <c r="M43" s="2"/>
      <c r="N43" s="2"/>
      <c r="O43" s="2"/>
    </row>
    <row r="44" spans="1:15" x14ac:dyDescent="0.25">
      <c r="A44" s="85" t="str">
        <f t="shared" si="15"/>
        <v>Manually read interval meters</v>
      </c>
      <c r="B44" s="454"/>
      <c r="C44" s="20"/>
      <c r="D44" s="771">
        <f>'Data 2009-12'!D44/D$145</f>
        <v>0</v>
      </c>
      <c r="E44" s="772">
        <f>'Data 2009-12'!E44/E$145</f>
        <v>0</v>
      </c>
      <c r="F44" s="772">
        <f>'Data 2009-12'!F44/F$145</f>
        <v>0</v>
      </c>
      <c r="G44" s="772">
        <f>'Data 2009-12'!G44/G$145</f>
        <v>0</v>
      </c>
      <c r="H44" s="766">
        <f>'DNSP Data Inputs 2013-15'!H44/$H$145</f>
        <v>0</v>
      </c>
      <c r="I44" s="766">
        <f>'DNSP Data Inputs 2013-15'!I44/$I$145</f>
        <v>0</v>
      </c>
      <c r="J44" s="767">
        <f>'DNSP Data Inputs 2013-15'!J44/$I$145</f>
        <v>0</v>
      </c>
      <c r="K44" s="36"/>
      <c r="M44" s="2"/>
      <c r="N44" s="2"/>
      <c r="O44" s="2"/>
    </row>
    <row r="45" spans="1:15" x14ac:dyDescent="0.25">
      <c r="A45" s="85" t="str">
        <f t="shared" si="15"/>
        <v>Remotely read interval meters &amp; transformers</v>
      </c>
      <c r="C45" s="20"/>
      <c r="D45" s="771">
        <f>'Data 2009-12'!D45/D$145</f>
        <v>0</v>
      </c>
      <c r="E45" s="772">
        <f>'Data 2009-12'!E45/E$145</f>
        <v>0</v>
      </c>
      <c r="F45" s="772">
        <f>'Data 2009-12'!F45/F$145</f>
        <v>0</v>
      </c>
      <c r="G45" s="772">
        <f>'Data 2009-12'!G45/G$145</f>
        <v>0</v>
      </c>
      <c r="H45" s="766">
        <f>'DNSP Data Inputs 2013-15'!H45/$H$145</f>
        <v>0</v>
      </c>
      <c r="I45" s="766">
        <f>'DNSP Data Inputs 2013-15'!I45/$I$145</f>
        <v>0</v>
      </c>
      <c r="J45" s="767">
        <f>'DNSP Data Inputs 2013-15'!J45/$I$145</f>
        <v>0</v>
      </c>
      <c r="K45" s="36"/>
      <c r="M45" s="2"/>
      <c r="N45" s="2"/>
      <c r="O45" s="2"/>
    </row>
    <row r="46" spans="1:15" x14ac:dyDescent="0.25">
      <c r="A46" s="85" t="str">
        <f t="shared" si="15"/>
        <v>IT</v>
      </c>
      <c r="C46" s="20"/>
      <c r="D46" s="771">
        <f>'Data 2009-12'!D46/D$145</f>
        <v>0</v>
      </c>
      <c r="E46" s="772">
        <f>'Data 2009-12'!E46/E$145</f>
        <v>0</v>
      </c>
      <c r="F46" s="772">
        <f>'Data 2009-12'!F46/F$145</f>
        <v>0</v>
      </c>
      <c r="G46" s="772">
        <f>'Data 2009-12'!G46/G$145</f>
        <v>0</v>
      </c>
      <c r="H46" s="766">
        <f>'DNSP Data Inputs 2013-15'!H46/$H$145</f>
        <v>0</v>
      </c>
      <c r="I46" s="766">
        <f>'DNSP Data Inputs 2013-15'!I46/$I$145</f>
        <v>0</v>
      </c>
      <c r="J46" s="767">
        <f>'DNSP Data Inputs 2013-15'!J46/$I$145</f>
        <v>0</v>
      </c>
      <c r="K46" s="36"/>
      <c r="M46" s="2"/>
      <c r="N46" s="2"/>
      <c r="O46" s="2"/>
    </row>
    <row r="47" spans="1:15" x14ac:dyDescent="0.25">
      <c r="A47" s="85" t="str">
        <f t="shared" si="15"/>
        <v>Communications</v>
      </c>
      <c r="B47" s="91"/>
      <c r="C47" s="20"/>
      <c r="D47" s="771">
        <f>'Data 2009-12'!D47/D$145</f>
        <v>0</v>
      </c>
      <c r="E47" s="772">
        <f>'Data 2009-12'!E47/E$145</f>
        <v>0</v>
      </c>
      <c r="F47" s="772">
        <f>'Data 2009-12'!F47/F$145</f>
        <v>0</v>
      </c>
      <c r="G47" s="772">
        <f>'Data 2009-12'!G47/G$145</f>
        <v>0</v>
      </c>
      <c r="H47" s="766">
        <f>'DNSP Data Inputs 2013-15'!H47/$H$145</f>
        <v>0</v>
      </c>
      <c r="I47" s="766">
        <f>'DNSP Data Inputs 2013-15'!I47/$I$145</f>
        <v>0</v>
      </c>
      <c r="J47" s="767">
        <f>'DNSP Data Inputs 2013-15'!J47/$I$145</f>
        <v>0</v>
      </c>
      <c r="K47" s="36"/>
      <c r="M47" s="2"/>
      <c r="N47" s="2"/>
      <c r="O47" s="2"/>
    </row>
    <row r="48" spans="1:15" x14ac:dyDescent="0.25">
      <c r="A48" s="85" t="str">
        <f t="shared" si="15"/>
        <v>Other</v>
      </c>
      <c r="C48" s="20"/>
      <c r="D48" s="773">
        <f>'Data 2009-12'!D48/D$145</f>
        <v>0</v>
      </c>
      <c r="E48" s="774">
        <f>'Data 2009-12'!E48/E$145</f>
        <v>0</v>
      </c>
      <c r="F48" s="774">
        <f>'Data 2009-12'!F48/F$145</f>
        <v>0</v>
      </c>
      <c r="G48" s="774">
        <f>'Data 2009-12'!G48/G$145</f>
        <v>0</v>
      </c>
      <c r="H48" s="766">
        <f>'DNSP Data Inputs 2013-15'!H48/$H$145</f>
        <v>0</v>
      </c>
      <c r="I48" s="766">
        <f>'DNSP Data Inputs 2013-15'!I48/$I$145</f>
        <v>0</v>
      </c>
      <c r="J48" s="767">
        <f>'DNSP Data Inputs 2013-15'!J48/$I$145</f>
        <v>0</v>
      </c>
      <c r="K48" s="36"/>
      <c r="M48" s="2"/>
      <c r="N48" s="2"/>
      <c r="O48" s="2"/>
    </row>
    <row r="49" spans="1:15" s="1" customFormat="1" ht="13.8" thickBot="1" x14ac:dyDescent="0.3">
      <c r="A49" s="14"/>
      <c r="B49" s="91"/>
      <c r="C49" s="2"/>
      <c r="D49" s="327">
        <f t="shared" ref="D49:J49" si="16">SUM(D43:D48)</f>
        <v>0</v>
      </c>
      <c r="E49" s="92">
        <f t="shared" si="16"/>
        <v>0</v>
      </c>
      <c r="F49" s="92">
        <f t="shared" si="16"/>
        <v>0</v>
      </c>
      <c r="G49" s="92">
        <f t="shared" si="16"/>
        <v>0</v>
      </c>
      <c r="H49" s="92">
        <f t="shared" si="16"/>
        <v>0</v>
      </c>
      <c r="I49" s="92">
        <f t="shared" si="16"/>
        <v>0</v>
      </c>
      <c r="J49" s="328">
        <f t="shared" si="16"/>
        <v>0</v>
      </c>
      <c r="K49" s="15"/>
      <c r="L49" s="2"/>
      <c r="M49" s="21"/>
      <c r="N49" s="21"/>
      <c r="O49" s="21"/>
    </row>
    <row r="50" spans="1:15" s="1" customFormat="1" ht="13.8" thickTop="1" x14ac:dyDescent="0.25">
      <c r="A50" s="14"/>
      <c r="B50" s="91"/>
      <c r="C50" s="2"/>
      <c r="D50" s="15"/>
      <c r="E50" s="15"/>
      <c r="F50" s="15"/>
      <c r="G50" s="15"/>
      <c r="H50" s="15"/>
      <c r="I50" s="15"/>
      <c r="J50" s="15"/>
      <c r="K50" s="15"/>
      <c r="L50" s="2"/>
      <c r="M50" s="21"/>
      <c r="N50" s="21"/>
      <c r="O50" s="21"/>
    </row>
    <row r="51" spans="1:15" s="1" customFormat="1" x14ac:dyDescent="0.25">
      <c r="A51" s="14"/>
      <c r="B51" s="85"/>
      <c r="C51" s="2"/>
      <c r="D51" s="15"/>
      <c r="E51" s="15"/>
      <c r="F51" s="15"/>
      <c r="G51" s="15"/>
      <c r="H51" s="15"/>
      <c r="I51" s="15"/>
      <c r="J51" s="15"/>
      <c r="K51" s="15"/>
      <c r="L51" s="2"/>
      <c r="M51" s="21"/>
      <c r="N51" s="21"/>
      <c r="O51" s="21"/>
    </row>
    <row r="52" spans="1:15" s="1" customFormat="1" x14ac:dyDescent="0.25">
      <c r="A52" s="3"/>
      <c r="B52" s="85"/>
      <c r="C52" s="2"/>
      <c r="D52" s="4">
        <v>2009</v>
      </c>
      <c r="E52" s="5">
        <v>2010</v>
      </c>
      <c r="F52" s="5">
        <v>2011</v>
      </c>
      <c r="G52" s="47">
        <f>G$1</f>
        <v>2012</v>
      </c>
      <c r="H52" s="47">
        <f>H$1</f>
        <v>2013</v>
      </c>
      <c r="I52" s="47">
        <f>I$1</f>
        <v>2014</v>
      </c>
      <c r="J52" s="48">
        <f>J$1</f>
        <v>2015</v>
      </c>
      <c r="K52" s="56"/>
      <c r="L52" s="2"/>
      <c r="M52" s="21"/>
      <c r="N52" s="21"/>
      <c r="O52" s="21"/>
    </row>
    <row r="53" spans="1:15" s="1" customFormat="1" x14ac:dyDescent="0.25">
      <c r="A53" s="43" t="s">
        <v>1</v>
      </c>
      <c r="B53" s="455"/>
      <c r="C53" s="2"/>
      <c r="D53" s="49" t="str">
        <f t="shared" ref="D53:J53" si="17">D$2</f>
        <v>Real 2008 $</v>
      </c>
      <c r="E53" s="50" t="str">
        <f t="shared" si="17"/>
        <v>Real 2008 $</v>
      </c>
      <c r="F53" s="50" t="str">
        <f t="shared" si="17"/>
        <v>Real 2008 $</v>
      </c>
      <c r="G53" s="50" t="str">
        <f t="shared" si="17"/>
        <v>Real 2008 $</v>
      </c>
      <c r="H53" s="50" t="str">
        <f t="shared" si="17"/>
        <v>Real 2008 $</v>
      </c>
      <c r="I53" s="50" t="str">
        <f t="shared" si="17"/>
        <v>Real 2008 $</v>
      </c>
      <c r="J53" s="51" t="str">
        <f t="shared" si="17"/>
        <v>Real 2008 $</v>
      </c>
      <c r="K53" s="110"/>
      <c r="L53" s="2"/>
      <c r="M53" s="21"/>
      <c r="N53" s="21"/>
      <c r="O53" s="21"/>
    </row>
    <row r="54" spans="1:15" s="1" customFormat="1" x14ac:dyDescent="0.25">
      <c r="A54" s="3"/>
      <c r="B54" s="91"/>
      <c r="C54" s="2"/>
      <c r="D54" s="52" t="str">
        <f t="shared" ref="D54:J54" si="18">D$3</f>
        <v>Actual</v>
      </c>
      <c r="E54" s="53" t="str">
        <f t="shared" si="18"/>
        <v>Actual</v>
      </c>
      <c r="F54" s="53" t="str">
        <f t="shared" si="18"/>
        <v>Actual</v>
      </c>
      <c r="G54" s="53" t="str">
        <f t="shared" si="18"/>
        <v>Actual</v>
      </c>
      <c r="H54" s="53" t="str">
        <f t="shared" si="18"/>
        <v>Actual</v>
      </c>
      <c r="I54" s="53" t="str">
        <f t="shared" si="18"/>
        <v>Forecast</v>
      </c>
      <c r="J54" s="728" t="str">
        <f t="shared" si="18"/>
        <v>Forecast</v>
      </c>
      <c r="K54" s="110"/>
      <c r="L54" s="2"/>
      <c r="M54" s="21"/>
      <c r="N54" s="21"/>
      <c r="O54" s="21"/>
    </row>
    <row r="55" spans="1:15" s="1" customFormat="1" ht="13.8" thickBot="1" x14ac:dyDescent="0.3">
      <c r="A55" s="3" t="s">
        <v>407</v>
      </c>
      <c r="B55" s="85"/>
      <c r="C55" s="2"/>
      <c r="D55" s="768">
        <f>'Data 2009-12'!D55/D$145</f>
        <v>25845627.888817675</v>
      </c>
      <c r="E55" s="769">
        <f>'Data 2009-12'!E55/E$145</f>
        <v>37448295.386666842</v>
      </c>
      <c r="F55" s="769">
        <f>'Data 2009-12'!F55/F$145</f>
        <v>39179753.657996863</v>
      </c>
      <c r="G55" s="769">
        <f>'Data 2009-12'!G55/G$145</f>
        <v>35531157.247911997</v>
      </c>
      <c r="H55" s="770">
        <f>'DNSP Data Inputs 2013-15'!H55/$H$145</f>
        <v>28206455.657441419</v>
      </c>
      <c r="I55" s="789">
        <f>'DNSP Data Inputs 2013-15'!I55/$I$145+I56</f>
        <v>34159383.849173345</v>
      </c>
      <c r="J55" s="790">
        <f>'DNSP Data Inputs 2013-15'!J55/$I$145+J56</f>
        <v>33342224.072700974</v>
      </c>
      <c r="K55" s="119"/>
      <c r="L55" s="2"/>
      <c r="M55" s="21"/>
      <c r="N55" s="21"/>
      <c r="O55" s="21"/>
    </row>
    <row r="56" spans="1:15" s="1" customFormat="1" ht="13.8" thickTop="1" x14ac:dyDescent="0.25">
      <c r="A56" s="3" t="s">
        <v>397</v>
      </c>
      <c r="B56" s="453"/>
      <c r="C56" s="794"/>
      <c r="D56" s="787"/>
      <c r="E56" s="787"/>
      <c r="F56" s="787"/>
      <c r="G56" s="787"/>
      <c r="H56" s="787"/>
      <c r="I56" s="788">
        <f>'AMI RAB 2009-15'!I12*10^3*$I$133*I57</f>
        <v>225158.65407858955</v>
      </c>
      <c r="J56" s="788">
        <f>'AMI RAB 2009-15'!J12*10^3*$I$133*J57</f>
        <v>225970.34468811614</v>
      </c>
      <c r="K56" s="19"/>
      <c r="L56" s="2"/>
      <c r="M56" s="21"/>
      <c r="N56" s="21"/>
      <c r="O56" s="21"/>
    </row>
    <row r="57" spans="1:15" s="1" customFormat="1" x14ac:dyDescent="0.25">
      <c r="A57" s="786" t="s">
        <v>398</v>
      </c>
      <c r="B57" s="449"/>
      <c r="C57" s="794"/>
      <c r="D57" s="787"/>
      <c r="E57" s="787"/>
      <c r="F57" s="787"/>
      <c r="G57" s="787"/>
      <c r="H57" s="787"/>
      <c r="I57" s="795">
        <v>1.08E-3</v>
      </c>
      <c r="J57" s="795">
        <v>1.08E-3</v>
      </c>
      <c r="K57" s="19"/>
      <c r="L57" s="2"/>
      <c r="M57" s="21"/>
      <c r="N57" s="21"/>
      <c r="O57" s="21"/>
    </row>
    <row r="58" spans="1:15" s="1" customFormat="1" x14ac:dyDescent="0.25">
      <c r="A58" s="60" t="s">
        <v>63</v>
      </c>
      <c r="B58" s="450"/>
      <c r="D58" s="46">
        <f t="shared" ref="D58:J58" si="19">D$1</f>
        <v>2009</v>
      </c>
      <c r="E58" s="47">
        <f t="shared" si="19"/>
        <v>2010</v>
      </c>
      <c r="F58" s="47">
        <f t="shared" si="19"/>
        <v>2011</v>
      </c>
      <c r="G58" s="47">
        <f t="shared" si="19"/>
        <v>2012</v>
      </c>
      <c r="H58" s="47">
        <f t="shared" si="19"/>
        <v>2013</v>
      </c>
      <c r="I58" s="47">
        <f t="shared" si="19"/>
        <v>2014</v>
      </c>
      <c r="J58" s="48">
        <f t="shared" si="19"/>
        <v>2015</v>
      </c>
      <c r="K58" s="19"/>
      <c r="L58" s="19"/>
      <c r="M58" s="21"/>
      <c r="N58" s="21"/>
      <c r="O58" s="21"/>
    </row>
    <row r="59" spans="1:15" s="1" customFormat="1" x14ac:dyDescent="0.25">
      <c r="B59" s="88"/>
      <c r="D59" s="726" t="s">
        <v>22</v>
      </c>
      <c r="E59" s="730" t="s">
        <v>22</v>
      </c>
      <c r="F59" s="730" t="s">
        <v>22</v>
      </c>
      <c r="G59" s="730" t="s">
        <v>22</v>
      </c>
      <c r="H59" s="730" t="s">
        <v>22</v>
      </c>
      <c r="I59" s="730" t="s">
        <v>22</v>
      </c>
      <c r="J59" s="727" t="s">
        <v>22</v>
      </c>
      <c r="K59" s="19"/>
      <c r="L59" s="2"/>
      <c r="M59" s="21"/>
      <c r="N59" s="21"/>
      <c r="O59" s="21"/>
    </row>
    <row r="60" spans="1:15" s="1" customFormat="1" ht="13.8" thickBot="1" x14ac:dyDescent="0.3">
      <c r="A60" s="78" t="s">
        <v>63</v>
      </c>
      <c r="B60" s="449"/>
      <c r="D60" s="797">
        <f>'Data 2009-12'!D60</f>
        <v>37927245.233500004</v>
      </c>
      <c r="E60" s="884">
        <f>'Data 2009-12'!E60</f>
        <v>65653893.745999992</v>
      </c>
      <c r="F60" s="884">
        <f>'Data 2009-12'!F60</f>
        <v>73478180.732400015</v>
      </c>
      <c r="G60" s="884">
        <f>'Data 2009-12'!G60</f>
        <v>83599356</v>
      </c>
      <c r="H60" s="798">
        <f>'DNSP Data Inputs 2013-15'!H60</f>
        <v>101332753</v>
      </c>
      <c r="K60" s="19"/>
      <c r="M60" s="21"/>
      <c r="N60" s="21"/>
      <c r="O60" s="21"/>
    </row>
    <row r="61" spans="1:15" s="1" customFormat="1" ht="13.8" thickTop="1" x14ac:dyDescent="0.25">
      <c r="E61" s="19"/>
      <c r="K61" s="19"/>
      <c r="M61" s="21"/>
      <c r="N61" s="21"/>
      <c r="O61" s="21"/>
    </row>
    <row r="62" spans="1:15" s="1" customFormat="1" x14ac:dyDescent="0.25">
      <c r="E62" s="19"/>
      <c r="K62" s="19"/>
      <c r="M62" s="21"/>
      <c r="N62" s="21"/>
      <c r="O62" s="21"/>
    </row>
    <row r="63" spans="1:15" s="1" customFormat="1" x14ac:dyDescent="0.25">
      <c r="A63" s="30"/>
      <c r="B63" s="86"/>
      <c r="C63" s="2"/>
      <c r="D63" s="19"/>
      <c r="E63" s="19"/>
      <c r="F63" s="19"/>
      <c r="G63" s="19"/>
      <c r="H63" s="19"/>
      <c r="I63" s="19"/>
      <c r="J63" s="19"/>
      <c r="K63" s="19"/>
      <c r="L63" s="2"/>
      <c r="M63" s="21"/>
      <c r="N63" s="21"/>
      <c r="O63" s="21"/>
    </row>
    <row r="64" spans="1:15" s="1" customFormat="1" x14ac:dyDescent="0.25">
      <c r="A64" s="30"/>
      <c r="B64" s="88"/>
      <c r="C64" s="2"/>
      <c r="D64" s="19"/>
      <c r="E64" s="19"/>
      <c r="F64" s="19"/>
      <c r="G64" s="19"/>
      <c r="H64" s="19"/>
      <c r="I64" s="19"/>
      <c r="J64" s="19"/>
      <c r="K64" s="19"/>
      <c r="L64" s="2"/>
      <c r="M64" s="21"/>
      <c r="N64" s="21"/>
      <c r="O64" s="21"/>
    </row>
    <row r="65" spans="1:17" x14ac:dyDescent="0.25">
      <c r="A65" s="60" t="s">
        <v>286</v>
      </c>
      <c r="B65" s="88"/>
      <c r="D65" s="20"/>
      <c r="E65" s="959" t="s">
        <v>384</v>
      </c>
      <c r="F65" s="976"/>
      <c r="G65" s="976"/>
      <c r="H65" s="976"/>
      <c r="I65" s="976"/>
      <c r="J65" s="960"/>
      <c r="K65" s="32"/>
      <c r="L65" s="2"/>
      <c r="O65" s="959" t="s">
        <v>23</v>
      </c>
      <c r="P65" s="977"/>
      <c r="Q65" s="961"/>
    </row>
    <row r="66" spans="1:17" x14ac:dyDescent="0.25">
      <c r="L66" s="2"/>
    </row>
    <row r="67" spans="1:17" x14ac:dyDescent="0.25">
      <c r="D67" s="56"/>
      <c r="E67" s="4">
        <f t="shared" ref="E67:J67" si="20">E$1</f>
        <v>2010</v>
      </c>
      <c r="F67" s="5">
        <f t="shared" si="20"/>
        <v>2011</v>
      </c>
      <c r="G67" s="5">
        <f t="shared" si="20"/>
        <v>2012</v>
      </c>
      <c r="H67" s="5">
        <f t="shared" si="20"/>
        <v>2013</v>
      </c>
      <c r="I67" s="5">
        <f t="shared" si="20"/>
        <v>2014</v>
      </c>
      <c r="J67" s="6">
        <f t="shared" si="20"/>
        <v>2015</v>
      </c>
      <c r="K67" s="56"/>
      <c r="L67" s="2"/>
      <c r="M67" s="2"/>
      <c r="N67" s="2"/>
      <c r="O67" s="4">
        <f>O$1</f>
        <v>2013</v>
      </c>
      <c r="P67" s="5">
        <f>P$1</f>
        <v>2014</v>
      </c>
      <c r="Q67" s="6">
        <f>Q$1</f>
        <v>2015</v>
      </c>
    </row>
    <row r="68" spans="1:17" x14ac:dyDescent="0.25">
      <c r="A68" s="59"/>
      <c r="D68" s="309"/>
      <c r="E68" s="733" t="s">
        <v>20</v>
      </c>
      <c r="F68" s="734" t="s">
        <v>20</v>
      </c>
      <c r="G68" s="734" t="s">
        <v>20</v>
      </c>
      <c r="H68" s="734" t="s">
        <v>20</v>
      </c>
      <c r="I68" s="734" t="s">
        <v>20</v>
      </c>
      <c r="J68" s="735" t="s">
        <v>21</v>
      </c>
      <c r="K68" s="110"/>
      <c r="L68" s="2"/>
      <c r="M68" s="2"/>
      <c r="N68" s="2"/>
      <c r="O68" s="690" t="str">
        <f>O$3</f>
        <v>Actual</v>
      </c>
      <c r="P68" s="736" t="str">
        <f>P$3</f>
        <v>Forecast</v>
      </c>
      <c r="Q68" s="737" t="str">
        <f>Q$3</f>
        <v>Forecast</v>
      </c>
    </row>
    <row r="69" spans="1:17" x14ac:dyDescent="0.25">
      <c r="B69" s="1"/>
      <c r="D69" s="309"/>
      <c r="E69" s="718" t="s">
        <v>22</v>
      </c>
      <c r="F69" s="713" t="s">
        <v>22</v>
      </c>
      <c r="G69" s="728" t="s">
        <v>22</v>
      </c>
      <c r="H69" s="728" t="s">
        <v>22</v>
      </c>
      <c r="I69" s="728" t="s">
        <v>22</v>
      </c>
      <c r="J69" s="728" t="s">
        <v>22</v>
      </c>
      <c r="K69" s="110"/>
      <c r="L69" s="2"/>
      <c r="M69" s="2"/>
      <c r="N69" s="2"/>
      <c r="O69" s="718"/>
      <c r="P69" s="738"/>
      <c r="Q69" s="739"/>
    </row>
    <row r="70" spans="1:17" x14ac:dyDescent="0.25">
      <c r="B70" s="91"/>
      <c r="D70" s="20"/>
      <c r="E70" s="39"/>
      <c r="F70" s="743"/>
      <c r="G70" s="743"/>
      <c r="H70" s="20"/>
      <c r="I70" s="20"/>
      <c r="J70" s="40"/>
      <c r="K70" s="2"/>
      <c r="L70" s="2"/>
      <c r="M70" s="2"/>
      <c r="N70" s="2"/>
      <c r="O70" s="39"/>
      <c r="P70" s="743"/>
      <c r="Q70" s="40"/>
    </row>
    <row r="71" spans="1:17" x14ac:dyDescent="0.25">
      <c r="A71" s="90" t="s">
        <v>24</v>
      </c>
      <c r="B71" s="91"/>
      <c r="D71" s="332"/>
      <c r="E71" s="340" t="s">
        <v>25</v>
      </c>
      <c r="F71" s="700"/>
      <c r="G71" s="700"/>
      <c r="H71" s="700"/>
      <c r="I71" s="700"/>
      <c r="J71" s="123"/>
      <c r="K71" s="120"/>
      <c r="L71" s="2"/>
      <c r="M71" s="2"/>
      <c r="N71" s="2"/>
      <c r="O71" s="23"/>
      <c r="P71" s="20"/>
      <c r="Q71" s="729"/>
    </row>
    <row r="72" spans="1:17" x14ac:dyDescent="0.25">
      <c r="A72" s="84" t="s">
        <v>26</v>
      </c>
      <c r="B72" s="55"/>
      <c r="D72" s="338"/>
      <c r="E72" s="715">
        <v>0</v>
      </c>
      <c r="F72" s="741">
        <v>0</v>
      </c>
      <c r="G72" s="741">
        <v>0</v>
      </c>
      <c r="H72" s="741">
        <v>0</v>
      </c>
      <c r="I72" s="741">
        <v>0</v>
      </c>
      <c r="J72" s="695">
        <f>'DNSP Data Inputs 2013-15'!J72</f>
        <v>0</v>
      </c>
      <c r="K72" s="121"/>
      <c r="L72" s="2"/>
      <c r="M72" s="2"/>
      <c r="N72" s="2"/>
      <c r="O72" s="691">
        <f>'DNSP Data Inputs 2013-15'!O72</f>
        <v>0</v>
      </c>
      <c r="P72" s="744">
        <f>'DNSP Data Inputs 2013-15'!P72</f>
        <v>0</v>
      </c>
      <c r="Q72" s="692">
        <f>'DNSP Data Inputs 2013-15'!Q72</f>
        <v>0</v>
      </c>
    </row>
    <row r="73" spans="1:17" x14ac:dyDescent="0.25">
      <c r="A73" s="84" t="s">
        <v>27</v>
      </c>
      <c r="B73" s="451"/>
      <c r="D73" s="338"/>
      <c r="E73" s="715">
        <v>0</v>
      </c>
      <c r="F73" s="741">
        <v>0</v>
      </c>
      <c r="G73" s="741">
        <v>0</v>
      </c>
      <c r="H73" s="741">
        <v>0</v>
      </c>
      <c r="I73" s="741">
        <v>0</v>
      </c>
      <c r="J73" s="695">
        <f>'DNSP Data Inputs 2013-15'!J73</f>
        <v>0</v>
      </c>
      <c r="K73" s="121"/>
      <c r="L73" s="2"/>
      <c r="M73" s="2"/>
      <c r="N73" s="2"/>
      <c r="O73" s="691">
        <f>'DNSP Data Inputs 2013-15'!O73</f>
        <v>0</v>
      </c>
      <c r="P73" s="744">
        <f>'DNSP Data Inputs 2013-15'!P73</f>
        <v>0</v>
      </c>
      <c r="Q73" s="692">
        <f>'DNSP Data Inputs 2013-15'!Q73</f>
        <v>0</v>
      </c>
    </row>
    <row r="74" spans="1:17" x14ac:dyDescent="0.25">
      <c r="A74" s="565" t="s">
        <v>370</v>
      </c>
      <c r="B74" s="2"/>
      <c r="D74" s="338"/>
      <c r="E74" s="715">
        <v>0</v>
      </c>
      <c r="F74" s="741">
        <v>0</v>
      </c>
      <c r="G74" s="741">
        <v>0</v>
      </c>
      <c r="H74" s="741">
        <v>0</v>
      </c>
      <c r="I74" s="741">
        <v>0</v>
      </c>
      <c r="J74" s="695">
        <f>'DNSP Data Inputs 2013-15'!J74</f>
        <v>0</v>
      </c>
      <c r="K74" s="121"/>
      <c r="L74" s="2"/>
      <c r="M74" s="2"/>
      <c r="N74" s="2"/>
      <c r="O74" s="691">
        <f>'DNSP Data Inputs 2013-15'!O74</f>
        <v>0</v>
      </c>
      <c r="P74" s="744">
        <f>'DNSP Data Inputs 2013-15'!P74</f>
        <v>0</v>
      </c>
      <c r="Q74" s="692">
        <f>'DNSP Data Inputs 2013-15'!Q74</f>
        <v>0</v>
      </c>
    </row>
    <row r="75" spans="1:17" x14ac:dyDescent="0.25">
      <c r="A75" s="565" t="s">
        <v>371</v>
      </c>
      <c r="D75" s="338"/>
      <c r="E75" s="715">
        <v>0</v>
      </c>
      <c r="F75" s="741">
        <v>0</v>
      </c>
      <c r="G75" s="741">
        <v>0</v>
      </c>
      <c r="H75" s="741">
        <v>0</v>
      </c>
      <c r="I75" s="741">
        <v>0</v>
      </c>
      <c r="J75" s="695">
        <f>'DNSP Data Inputs 2013-15'!J75</f>
        <v>0</v>
      </c>
      <c r="K75" s="121"/>
      <c r="L75" s="2"/>
      <c r="M75" s="2"/>
      <c r="N75" s="2"/>
      <c r="O75" s="691">
        <f>'DNSP Data Inputs 2013-15'!O75</f>
        <v>0</v>
      </c>
      <c r="P75" s="744">
        <f>'DNSP Data Inputs 2013-15'!P75</f>
        <v>0</v>
      </c>
      <c r="Q75" s="692">
        <f>'DNSP Data Inputs 2013-15'!Q75</f>
        <v>0</v>
      </c>
    </row>
    <row r="76" spans="1:17" x14ac:dyDescent="0.25">
      <c r="A76" s="565" t="s">
        <v>372</v>
      </c>
      <c r="D76" s="338"/>
      <c r="E76" s="715">
        <v>0</v>
      </c>
      <c r="F76" s="741">
        <v>0</v>
      </c>
      <c r="G76" s="741">
        <v>0</v>
      </c>
      <c r="H76" s="741">
        <v>0</v>
      </c>
      <c r="I76" s="741">
        <v>0</v>
      </c>
      <c r="J76" s="695">
        <f>'DNSP Data Inputs 2013-15'!J76</f>
        <v>0</v>
      </c>
      <c r="K76" s="121"/>
      <c r="L76" s="2"/>
      <c r="M76" s="2"/>
      <c r="N76" s="2"/>
      <c r="O76" s="691">
        <f>'DNSP Data Inputs 2013-15'!O76</f>
        <v>0</v>
      </c>
      <c r="P76" s="744">
        <f>'DNSP Data Inputs 2013-15'!P76</f>
        <v>0</v>
      </c>
      <c r="Q76" s="692">
        <f>'DNSP Data Inputs 2013-15'!Q76</f>
        <v>0</v>
      </c>
    </row>
    <row r="77" spans="1:17" x14ac:dyDescent="0.25">
      <c r="A77" s="565" t="s">
        <v>373</v>
      </c>
      <c r="B77" s="2"/>
      <c r="D77" s="338"/>
      <c r="E77" s="715">
        <v>0</v>
      </c>
      <c r="F77" s="741">
        <v>0</v>
      </c>
      <c r="G77" s="741">
        <v>0</v>
      </c>
      <c r="H77" s="741">
        <v>0</v>
      </c>
      <c r="I77" s="741">
        <v>0</v>
      </c>
      <c r="J77" s="695">
        <f>'DNSP Data Inputs 2013-15'!J77</f>
        <v>0</v>
      </c>
      <c r="K77" s="121"/>
      <c r="L77" s="2"/>
      <c r="M77" s="2"/>
      <c r="N77" s="2"/>
      <c r="O77" s="691">
        <f>'DNSP Data Inputs 2013-15'!O77</f>
        <v>0</v>
      </c>
      <c r="P77" s="744">
        <f>'DNSP Data Inputs 2013-15'!P77</f>
        <v>0</v>
      </c>
      <c r="Q77" s="692">
        <f>'DNSP Data Inputs 2013-15'!Q77</f>
        <v>0</v>
      </c>
    </row>
    <row r="78" spans="1:17" x14ac:dyDescent="0.25">
      <c r="A78" s="565" t="s">
        <v>374</v>
      </c>
      <c r="B78" s="88"/>
      <c r="D78" s="338"/>
      <c r="E78" s="715">
        <v>0</v>
      </c>
      <c r="F78" s="741">
        <v>0</v>
      </c>
      <c r="G78" s="741">
        <v>0</v>
      </c>
      <c r="H78" s="741">
        <v>0</v>
      </c>
      <c r="I78" s="741">
        <v>0</v>
      </c>
      <c r="J78" s="695">
        <f>'DNSP Data Inputs 2013-15'!J78</f>
        <v>0</v>
      </c>
      <c r="K78" s="121"/>
      <c r="L78" s="2"/>
      <c r="M78" s="2"/>
      <c r="N78" s="2"/>
      <c r="O78" s="691">
        <f>'DNSP Data Inputs 2013-15'!O78</f>
        <v>0</v>
      </c>
      <c r="P78" s="744">
        <f>'DNSP Data Inputs 2013-15'!P78</f>
        <v>0</v>
      </c>
      <c r="Q78" s="692">
        <f>'DNSP Data Inputs 2013-15'!Q78</f>
        <v>0</v>
      </c>
    </row>
    <row r="79" spans="1:17" x14ac:dyDescent="0.25">
      <c r="A79" s="84"/>
      <c r="D79" s="339"/>
      <c r="E79" s="341"/>
      <c r="F79" s="334"/>
      <c r="G79" s="334"/>
      <c r="H79" s="334"/>
      <c r="I79" s="334"/>
      <c r="J79" s="335"/>
      <c r="K79" s="2"/>
      <c r="L79" s="2"/>
      <c r="M79" s="2"/>
      <c r="N79" s="2"/>
      <c r="O79" s="23"/>
      <c r="P79" s="20"/>
      <c r="Q79" s="729"/>
    </row>
    <row r="80" spans="1:17" x14ac:dyDescent="0.25">
      <c r="A80" s="84"/>
      <c r="D80" s="339"/>
      <c r="E80" s="341"/>
      <c r="F80" s="334"/>
      <c r="G80" s="334"/>
      <c r="H80" s="334"/>
      <c r="I80" s="334"/>
      <c r="J80" s="335"/>
      <c r="K80" s="2"/>
      <c r="L80" s="2"/>
      <c r="M80" s="2"/>
      <c r="N80" s="2"/>
      <c r="O80" s="23"/>
      <c r="P80" s="20"/>
      <c r="Q80" s="729"/>
    </row>
    <row r="81" spans="1:17" x14ac:dyDescent="0.25">
      <c r="A81" s="90" t="s">
        <v>24</v>
      </c>
      <c r="B81" s="320"/>
      <c r="D81" s="332"/>
      <c r="E81" s="521" t="s">
        <v>28</v>
      </c>
      <c r="F81" s="701"/>
      <c r="G81" s="701"/>
      <c r="H81" s="701"/>
      <c r="I81" s="701"/>
      <c r="J81" s="336"/>
      <c r="K81" s="120"/>
      <c r="L81" s="2"/>
      <c r="M81" s="2"/>
      <c r="N81" s="2"/>
      <c r="O81" s="23"/>
      <c r="P81" s="20"/>
      <c r="Q81" s="729"/>
    </row>
    <row r="82" spans="1:17" x14ac:dyDescent="0.25">
      <c r="A82" s="84" t="s">
        <v>26</v>
      </c>
      <c r="B82" s="320"/>
      <c r="D82" s="334"/>
      <c r="E82" s="715">
        <v>0</v>
      </c>
      <c r="F82" s="741">
        <v>0</v>
      </c>
      <c r="G82" s="741">
        <v>0</v>
      </c>
      <c r="H82" s="741">
        <v>0</v>
      </c>
      <c r="I82" s="741">
        <v>0</v>
      </c>
      <c r="J82" s="695">
        <f>'DNSP Data Inputs 2013-15'!J82</f>
        <v>0</v>
      </c>
      <c r="K82" s="121"/>
      <c r="L82" s="2"/>
      <c r="M82" s="2"/>
      <c r="N82" s="2"/>
      <c r="O82" s="691">
        <f>'DNSP Data Inputs 2013-15'!O82</f>
        <v>0</v>
      </c>
      <c r="P82" s="744">
        <f>'DNSP Data Inputs 2013-15'!P82</f>
        <v>0</v>
      </c>
      <c r="Q82" s="692">
        <f>'DNSP Data Inputs 2013-15'!Q82</f>
        <v>0</v>
      </c>
    </row>
    <row r="83" spans="1:17" x14ac:dyDescent="0.25">
      <c r="A83" s="84" t="s">
        <v>27</v>
      </c>
      <c r="B83" s="433"/>
      <c r="D83" s="334"/>
      <c r="E83" s="715">
        <v>0</v>
      </c>
      <c r="F83" s="741">
        <v>0</v>
      </c>
      <c r="G83" s="741">
        <v>0</v>
      </c>
      <c r="H83" s="741">
        <v>0</v>
      </c>
      <c r="I83" s="741">
        <v>0</v>
      </c>
      <c r="J83" s="695">
        <f>'DNSP Data Inputs 2013-15'!J83</f>
        <v>0</v>
      </c>
      <c r="K83" s="121"/>
      <c r="L83" s="2"/>
      <c r="M83" s="2"/>
      <c r="N83" s="2"/>
      <c r="O83" s="691">
        <f>'DNSP Data Inputs 2013-15'!O83</f>
        <v>0</v>
      </c>
      <c r="P83" s="744">
        <f>'DNSP Data Inputs 2013-15'!P83</f>
        <v>0</v>
      </c>
      <c r="Q83" s="692">
        <f>'DNSP Data Inputs 2013-15'!Q83</f>
        <v>0</v>
      </c>
    </row>
    <row r="84" spans="1:17" x14ac:dyDescent="0.25">
      <c r="A84" s="565" t="s">
        <v>370</v>
      </c>
      <c r="D84" s="338"/>
      <c r="E84" s="715">
        <v>0</v>
      </c>
      <c r="F84" s="741">
        <v>0</v>
      </c>
      <c r="G84" s="741">
        <v>0</v>
      </c>
      <c r="H84" s="741">
        <v>0</v>
      </c>
      <c r="I84" s="741">
        <v>0</v>
      </c>
      <c r="J84" s="695">
        <f>'DNSP Data Inputs 2013-15'!J84</f>
        <v>0</v>
      </c>
      <c r="K84" s="121"/>
      <c r="L84" s="2"/>
      <c r="M84" s="2"/>
      <c r="N84" s="2"/>
      <c r="O84" s="691">
        <f>'DNSP Data Inputs 2013-15'!O84</f>
        <v>0</v>
      </c>
      <c r="P84" s="744">
        <f>'DNSP Data Inputs 2013-15'!P84</f>
        <v>0</v>
      </c>
      <c r="Q84" s="692">
        <f>'DNSP Data Inputs 2013-15'!Q84</f>
        <v>0</v>
      </c>
    </row>
    <row r="85" spans="1:17" x14ac:dyDescent="0.25">
      <c r="A85" s="565" t="s">
        <v>371</v>
      </c>
      <c r="D85" s="338"/>
      <c r="E85" s="715">
        <v>0</v>
      </c>
      <c r="F85" s="741">
        <v>0</v>
      </c>
      <c r="G85" s="741">
        <v>0</v>
      </c>
      <c r="H85" s="741">
        <v>0</v>
      </c>
      <c r="I85" s="741">
        <v>0</v>
      </c>
      <c r="J85" s="695">
        <f>'DNSP Data Inputs 2013-15'!J85</f>
        <v>0</v>
      </c>
      <c r="K85" s="121"/>
      <c r="L85" s="2"/>
      <c r="M85" s="2"/>
      <c r="N85" s="2"/>
      <c r="O85" s="691">
        <f>'DNSP Data Inputs 2013-15'!O85</f>
        <v>0</v>
      </c>
      <c r="P85" s="744">
        <f>'DNSP Data Inputs 2013-15'!P85</f>
        <v>0</v>
      </c>
      <c r="Q85" s="692">
        <f>'DNSP Data Inputs 2013-15'!Q85</f>
        <v>0</v>
      </c>
    </row>
    <row r="86" spans="1:17" x14ac:dyDescent="0.25">
      <c r="A86" s="565" t="s">
        <v>372</v>
      </c>
      <c r="D86" s="338"/>
      <c r="E86" s="715">
        <v>0</v>
      </c>
      <c r="F86" s="741">
        <v>0</v>
      </c>
      <c r="G86" s="741">
        <v>0</v>
      </c>
      <c r="H86" s="741">
        <v>0</v>
      </c>
      <c r="I86" s="741">
        <v>0</v>
      </c>
      <c r="J86" s="695">
        <f>'DNSP Data Inputs 2013-15'!J86</f>
        <v>0</v>
      </c>
      <c r="K86" s="121"/>
      <c r="L86" s="2"/>
      <c r="M86" s="2"/>
      <c r="N86" s="2"/>
      <c r="O86" s="691">
        <f>'DNSP Data Inputs 2013-15'!O86</f>
        <v>0</v>
      </c>
      <c r="P86" s="744">
        <f>'DNSP Data Inputs 2013-15'!P86</f>
        <v>0</v>
      </c>
      <c r="Q86" s="692">
        <f>'DNSP Data Inputs 2013-15'!Q86</f>
        <v>0</v>
      </c>
    </row>
    <row r="87" spans="1:17" x14ac:dyDescent="0.25">
      <c r="A87" s="565" t="s">
        <v>373</v>
      </c>
      <c r="D87" s="338"/>
      <c r="E87" s="715">
        <v>0</v>
      </c>
      <c r="F87" s="741">
        <v>0</v>
      </c>
      <c r="G87" s="741">
        <v>0</v>
      </c>
      <c r="H87" s="741">
        <v>0</v>
      </c>
      <c r="I87" s="741">
        <v>0</v>
      </c>
      <c r="J87" s="695">
        <f>'DNSP Data Inputs 2013-15'!J87</f>
        <v>0</v>
      </c>
      <c r="K87" s="121"/>
      <c r="L87" s="2"/>
      <c r="M87" s="2"/>
      <c r="N87" s="2"/>
      <c r="O87" s="691">
        <f>'DNSP Data Inputs 2013-15'!O87</f>
        <v>0</v>
      </c>
      <c r="P87" s="744">
        <f>'DNSP Data Inputs 2013-15'!P87</f>
        <v>0</v>
      </c>
      <c r="Q87" s="692">
        <f>'DNSP Data Inputs 2013-15'!Q87</f>
        <v>0</v>
      </c>
    </row>
    <row r="88" spans="1:17" x14ac:dyDescent="0.25">
      <c r="A88" s="565" t="s">
        <v>374</v>
      </c>
      <c r="B88" s="108"/>
      <c r="D88" s="338"/>
      <c r="E88" s="715">
        <v>0</v>
      </c>
      <c r="F88" s="741">
        <v>0</v>
      </c>
      <c r="G88" s="741">
        <v>0</v>
      </c>
      <c r="H88" s="741">
        <v>0</v>
      </c>
      <c r="I88" s="741">
        <v>0</v>
      </c>
      <c r="J88" s="695">
        <f>'DNSP Data Inputs 2013-15'!J88</f>
        <v>0</v>
      </c>
      <c r="K88" s="121"/>
      <c r="L88" s="2"/>
      <c r="M88" s="2"/>
      <c r="N88" s="2"/>
      <c r="O88" s="691">
        <f>'DNSP Data Inputs 2013-15'!O88</f>
        <v>0</v>
      </c>
      <c r="P88" s="744">
        <f>'DNSP Data Inputs 2013-15'!P88</f>
        <v>0</v>
      </c>
      <c r="Q88" s="692">
        <f>'DNSP Data Inputs 2013-15'!Q88</f>
        <v>0</v>
      </c>
    </row>
    <row r="89" spans="1:17" x14ac:dyDescent="0.25">
      <c r="A89" s="84"/>
      <c r="B89" s="88"/>
      <c r="D89" s="339"/>
      <c r="E89" s="341"/>
      <c r="F89" s="334"/>
      <c r="G89" s="334"/>
      <c r="H89" s="334"/>
      <c r="I89" s="334"/>
      <c r="J89" s="335"/>
      <c r="K89" s="2"/>
      <c r="L89" s="2"/>
      <c r="M89" s="2"/>
      <c r="N89" s="2"/>
      <c r="O89" s="23"/>
      <c r="P89" s="20"/>
      <c r="Q89" s="729"/>
    </row>
    <row r="90" spans="1:17" x14ac:dyDescent="0.25">
      <c r="A90" s="84"/>
      <c r="B90" s="93"/>
      <c r="D90" s="339"/>
      <c r="E90" s="341"/>
      <c r="F90" s="334"/>
      <c r="G90" s="334"/>
      <c r="H90" s="334"/>
      <c r="I90" s="334"/>
      <c r="J90" s="335"/>
      <c r="K90" s="2"/>
      <c r="L90" s="2"/>
      <c r="M90" s="2"/>
      <c r="N90" s="2"/>
      <c r="O90" s="23"/>
      <c r="P90" s="20"/>
      <c r="Q90" s="729"/>
    </row>
    <row r="91" spans="1:17" x14ac:dyDescent="0.25">
      <c r="A91" s="90" t="s">
        <v>29</v>
      </c>
      <c r="B91" s="93"/>
      <c r="D91" s="332"/>
      <c r="E91" s="340" t="s">
        <v>25</v>
      </c>
      <c r="F91" s="701"/>
      <c r="G91" s="701"/>
      <c r="H91" s="701"/>
      <c r="I91" s="701"/>
      <c r="J91" s="336"/>
      <c r="K91" s="120"/>
      <c r="L91" s="2"/>
      <c r="M91" s="2"/>
      <c r="N91" s="2"/>
      <c r="O91" s="23"/>
      <c r="P91" s="20"/>
      <c r="Q91" s="729"/>
    </row>
    <row r="92" spans="1:17" x14ac:dyDescent="0.25">
      <c r="A92" s="84" t="s">
        <v>30</v>
      </c>
      <c r="B92" s="91"/>
      <c r="D92" s="338"/>
      <c r="E92" s="715">
        <v>0</v>
      </c>
      <c r="F92" s="741">
        <v>0</v>
      </c>
      <c r="G92" s="741">
        <v>0</v>
      </c>
      <c r="H92" s="741">
        <v>0</v>
      </c>
      <c r="I92" s="741">
        <v>0</v>
      </c>
      <c r="J92" s="695">
        <f>'DNSP Data Inputs 2013-15'!J92</f>
        <v>0</v>
      </c>
      <c r="K92" s="121"/>
      <c r="L92" s="2"/>
      <c r="M92" s="2"/>
      <c r="N92" s="2"/>
      <c r="O92" s="691">
        <f>'DNSP Data Inputs 2013-15'!O92</f>
        <v>0</v>
      </c>
      <c r="P92" s="744">
        <f>'DNSP Data Inputs 2013-15'!P92</f>
        <v>0</v>
      </c>
      <c r="Q92" s="692">
        <f>'DNSP Data Inputs 2013-15'!Q92</f>
        <v>0</v>
      </c>
    </row>
    <row r="93" spans="1:17" x14ac:dyDescent="0.25">
      <c r="A93" s="84" t="s">
        <v>31</v>
      </c>
      <c r="B93" s="86"/>
      <c r="D93" s="338"/>
      <c r="E93" s="715">
        <v>0</v>
      </c>
      <c r="F93" s="741">
        <v>0</v>
      </c>
      <c r="G93" s="741">
        <v>0</v>
      </c>
      <c r="H93" s="741">
        <v>0</v>
      </c>
      <c r="I93" s="741">
        <v>0</v>
      </c>
      <c r="J93" s="695">
        <f>'DNSP Data Inputs 2013-15'!J93</f>
        <v>0</v>
      </c>
      <c r="K93" s="121"/>
      <c r="L93" s="2"/>
      <c r="M93" s="2"/>
      <c r="N93" s="2"/>
      <c r="O93" s="691">
        <f>'DNSP Data Inputs 2013-15'!O93</f>
        <v>0</v>
      </c>
      <c r="P93" s="744">
        <f>'DNSP Data Inputs 2013-15'!P93</f>
        <v>0</v>
      </c>
      <c r="Q93" s="692">
        <f>'DNSP Data Inputs 2013-15'!Q93</f>
        <v>0</v>
      </c>
    </row>
    <row r="94" spans="1:17" x14ac:dyDescent="0.25">
      <c r="A94" s="84" t="s">
        <v>32</v>
      </c>
      <c r="B94" s="91"/>
      <c r="D94" s="338"/>
      <c r="E94" s="715">
        <v>0</v>
      </c>
      <c r="F94" s="741">
        <v>0</v>
      </c>
      <c r="G94" s="741">
        <v>0</v>
      </c>
      <c r="H94" s="741">
        <v>0</v>
      </c>
      <c r="I94" s="741">
        <v>0</v>
      </c>
      <c r="J94" s="695">
        <f>'DNSP Data Inputs 2013-15'!J94</f>
        <v>0</v>
      </c>
      <c r="K94" s="121"/>
      <c r="L94" s="2"/>
      <c r="M94" s="2"/>
      <c r="N94" s="2"/>
      <c r="O94" s="691">
        <f>'DNSP Data Inputs 2013-15'!O94</f>
        <v>0</v>
      </c>
      <c r="P94" s="744">
        <f>'DNSP Data Inputs 2013-15'!P94</f>
        <v>0</v>
      </c>
      <c r="Q94" s="692">
        <f>'DNSP Data Inputs 2013-15'!Q94</f>
        <v>0</v>
      </c>
    </row>
    <row r="95" spans="1:17" x14ac:dyDescent="0.25">
      <c r="A95" s="84" t="s">
        <v>33</v>
      </c>
      <c r="B95" s="93"/>
      <c r="D95" s="338"/>
      <c r="E95" s="715">
        <v>0</v>
      </c>
      <c r="F95" s="741">
        <v>0</v>
      </c>
      <c r="G95" s="741">
        <v>0</v>
      </c>
      <c r="H95" s="741">
        <v>0</v>
      </c>
      <c r="I95" s="741">
        <v>0</v>
      </c>
      <c r="J95" s="695">
        <f>'DNSP Data Inputs 2013-15'!J95</f>
        <v>0</v>
      </c>
      <c r="K95" s="121"/>
      <c r="L95" s="2"/>
      <c r="M95" s="2"/>
      <c r="N95" s="2"/>
      <c r="O95" s="691">
        <f>'DNSP Data Inputs 2013-15'!O95</f>
        <v>0</v>
      </c>
      <c r="P95" s="744">
        <f>'DNSP Data Inputs 2013-15'!P95</f>
        <v>0</v>
      </c>
      <c r="Q95" s="692">
        <f>'DNSP Data Inputs 2013-15'!Q95</f>
        <v>0</v>
      </c>
    </row>
    <row r="96" spans="1:17" x14ac:dyDescent="0.25">
      <c r="A96" s="84" t="s">
        <v>34</v>
      </c>
      <c r="B96" s="93"/>
      <c r="D96" s="338"/>
      <c r="E96" s="715">
        <v>0</v>
      </c>
      <c r="F96" s="741">
        <v>0</v>
      </c>
      <c r="G96" s="741">
        <v>0</v>
      </c>
      <c r="H96" s="741">
        <v>0</v>
      </c>
      <c r="I96" s="741">
        <v>0</v>
      </c>
      <c r="J96" s="695">
        <f>'DNSP Data Inputs 2013-15'!J96</f>
        <v>0</v>
      </c>
      <c r="K96" s="121"/>
      <c r="L96" s="2"/>
      <c r="M96" s="2"/>
      <c r="N96" s="2"/>
      <c r="O96" s="691">
        <f>'DNSP Data Inputs 2013-15'!O96</f>
        <v>0</v>
      </c>
      <c r="P96" s="744">
        <f>'DNSP Data Inputs 2013-15'!P96</f>
        <v>0</v>
      </c>
      <c r="Q96" s="692">
        <f>'DNSP Data Inputs 2013-15'!Q96</f>
        <v>0</v>
      </c>
    </row>
    <row r="97" spans="1:17" x14ac:dyDescent="0.25">
      <c r="A97" s="84" t="s">
        <v>35</v>
      </c>
      <c r="B97" s="93"/>
      <c r="D97" s="338"/>
      <c r="E97" s="715">
        <v>0</v>
      </c>
      <c r="F97" s="741">
        <v>0</v>
      </c>
      <c r="G97" s="741">
        <v>0</v>
      </c>
      <c r="H97" s="741">
        <v>0</v>
      </c>
      <c r="I97" s="741">
        <v>0</v>
      </c>
      <c r="J97" s="695">
        <f>'DNSP Data Inputs 2013-15'!J97</f>
        <v>0</v>
      </c>
      <c r="K97" s="121"/>
      <c r="L97" s="2"/>
      <c r="M97" s="2"/>
      <c r="N97" s="2"/>
      <c r="O97" s="691">
        <f>'DNSP Data Inputs 2013-15'!O97</f>
        <v>0</v>
      </c>
      <c r="P97" s="744">
        <f>'DNSP Data Inputs 2013-15'!P97</f>
        <v>0</v>
      </c>
      <c r="Q97" s="692">
        <f>'DNSP Data Inputs 2013-15'!Q97</f>
        <v>0</v>
      </c>
    </row>
    <row r="98" spans="1:17" x14ac:dyDescent="0.25">
      <c r="A98" s="565" t="s">
        <v>375</v>
      </c>
      <c r="B98" s="93"/>
      <c r="D98" s="338"/>
      <c r="E98" s="746">
        <f t="shared" ref="E98:F102" si="21">E185</f>
        <v>86.1</v>
      </c>
      <c r="F98" s="740">
        <f t="shared" si="21"/>
        <v>93.83</v>
      </c>
      <c r="G98" s="740">
        <f t="shared" ref="G98:H98" si="22">G185</f>
        <v>107.25</v>
      </c>
      <c r="H98" s="740">
        <f t="shared" si="22"/>
        <v>130.44999999999999</v>
      </c>
      <c r="I98" s="740">
        <f t="shared" ref="I98" si="23">I185</f>
        <v>160.21</v>
      </c>
      <c r="J98" s="695">
        <f>'DNSP Data Inputs 2013-15'!J98</f>
        <v>205.54</v>
      </c>
      <c r="K98" s="121"/>
      <c r="L98" s="2"/>
      <c r="M98" s="2"/>
      <c r="N98" s="2"/>
      <c r="O98" s="691">
        <f>'DNSP Data Inputs 2013-15'!O98</f>
        <v>0</v>
      </c>
      <c r="P98" s="744">
        <f>'DNSP Data Inputs 2013-15'!P98</f>
        <v>398557.46675785119</v>
      </c>
      <c r="Q98" s="692">
        <f>'DNSP Data Inputs 2013-15'!Q98</f>
        <v>406120.02995804162</v>
      </c>
    </row>
    <row r="99" spans="1:17" x14ac:dyDescent="0.25">
      <c r="A99" s="565" t="s">
        <v>376</v>
      </c>
      <c r="B99" s="93"/>
      <c r="D99" s="338"/>
      <c r="E99" s="746">
        <f t="shared" si="21"/>
        <v>98.93</v>
      </c>
      <c r="F99" s="740">
        <f t="shared" si="21"/>
        <v>107.81</v>
      </c>
      <c r="G99" s="740">
        <f t="shared" ref="G99:H99" si="24">G186</f>
        <v>123.24</v>
      </c>
      <c r="H99" s="740">
        <f t="shared" si="24"/>
        <v>149.9</v>
      </c>
      <c r="I99" s="740">
        <f t="shared" ref="I99" si="25">I186</f>
        <v>184.1</v>
      </c>
      <c r="J99" s="695">
        <f>'DNSP Data Inputs 2013-15'!J99</f>
        <v>236.19</v>
      </c>
      <c r="K99" s="121"/>
      <c r="L99" s="2"/>
      <c r="M99" s="2"/>
      <c r="N99" s="2"/>
      <c r="O99" s="691">
        <f>'DNSP Data Inputs 2013-15'!O99</f>
        <v>0</v>
      </c>
      <c r="P99" s="744">
        <f>'DNSP Data Inputs 2013-15'!P99</f>
        <v>156548.59239537409</v>
      </c>
      <c r="Q99" s="692">
        <f>'DNSP Data Inputs 2013-15'!Q99</f>
        <v>157702.89891689076</v>
      </c>
    </row>
    <row r="100" spans="1:17" x14ac:dyDescent="0.25">
      <c r="A100" s="565" t="s">
        <v>377</v>
      </c>
      <c r="B100" s="93"/>
      <c r="D100" s="338"/>
      <c r="E100" s="746">
        <f t="shared" si="21"/>
        <v>119.51</v>
      </c>
      <c r="F100" s="740">
        <f t="shared" si="21"/>
        <v>130.25</v>
      </c>
      <c r="G100" s="740">
        <f t="shared" ref="G100:H100" si="26">G187</f>
        <v>148.88999999999999</v>
      </c>
      <c r="H100" s="740">
        <f t="shared" si="26"/>
        <v>181.1</v>
      </c>
      <c r="I100" s="740">
        <f t="shared" ref="I100" si="27">I187</f>
        <v>222.42</v>
      </c>
      <c r="J100" s="695">
        <f>'DNSP Data Inputs 2013-15'!J100</f>
        <v>285.36</v>
      </c>
      <c r="K100" s="121"/>
      <c r="L100" s="2"/>
      <c r="M100" s="2"/>
      <c r="N100" s="2"/>
      <c r="O100" s="691">
        <f>'DNSP Data Inputs 2013-15'!O100</f>
        <v>0</v>
      </c>
      <c r="P100" s="744">
        <f>'DNSP Data Inputs 2013-15'!P100</f>
        <v>84284.130234145021</v>
      </c>
      <c r="Q100" s="692">
        <f>'DNSP Data Inputs 2013-15'!Q100</f>
        <v>85357.055867229894</v>
      </c>
    </row>
    <row r="101" spans="1:17" x14ac:dyDescent="0.25">
      <c r="A101" s="565" t="s">
        <v>378</v>
      </c>
      <c r="B101" s="93"/>
      <c r="D101" s="338"/>
      <c r="E101" s="746">
        <f t="shared" si="21"/>
        <v>132.58000000000001</v>
      </c>
      <c r="F101" s="740">
        <f t="shared" si="21"/>
        <v>144.49</v>
      </c>
      <c r="G101" s="740">
        <f t="shared" ref="G101:H101" si="28">G188</f>
        <v>165.16</v>
      </c>
      <c r="H101" s="740">
        <f t="shared" si="28"/>
        <v>200.89</v>
      </c>
      <c r="I101" s="740">
        <f t="shared" ref="I101" si="29">I188</f>
        <v>246.73</v>
      </c>
      <c r="J101" s="695">
        <f>'DNSP Data Inputs 2013-15'!J101</f>
        <v>316.54000000000002</v>
      </c>
      <c r="K101" s="121"/>
      <c r="L101" s="2"/>
      <c r="M101" s="2"/>
      <c r="N101" s="2"/>
      <c r="O101" s="691">
        <f>'DNSP Data Inputs 2013-15'!O101</f>
        <v>0</v>
      </c>
      <c r="P101" s="744">
        <f>'DNSP Data Inputs 2013-15'!P101</f>
        <v>42292.871638879471</v>
      </c>
      <c r="Q101" s="692">
        <f>'DNSP Data Inputs 2013-15'!Q101</f>
        <v>42316.309334747828</v>
      </c>
    </row>
    <row r="102" spans="1:17" x14ac:dyDescent="0.25">
      <c r="A102" s="565" t="s">
        <v>379</v>
      </c>
      <c r="B102" s="93"/>
      <c r="D102" s="338"/>
      <c r="E102" s="746">
        <f t="shared" si="21"/>
        <v>170.71</v>
      </c>
      <c r="F102" s="740">
        <f t="shared" si="21"/>
        <v>186.05</v>
      </c>
      <c r="G102" s="740">
        <f t="shared" ref="G102:H102" si="30">G189</f>
        <v>212.67</v>
      </c>
      <c r="H102" s="740">
        <f t="shared" si="30"/>
        <v>258.68</v>
      </c>
      <c r="I102" s="740">
        <f t="shared" ref="I102" si="31">I189</f>
        <v>317.7</v>
      </c>
      <c r="J102" s="695">
        <f>'DNSP Data Inputs 2013-15'!J102</f>
        <v>407.45000000000005</v>
      </c>
      <c r="K102" s="121"/>
      <c r="L102" s="2"/>
      <c r="M102" s="2"/>
      <c r="N102" s="2"/>
      <c r="O102" s="691">
        <f>'DNSP Data Inputs 2013-15'!O102</f>
        <v>0</v>
      </c>
      <c r="P102" s="744">
        <f>'DNSP Data Inputs 2013-15'!P102</f>
        <v>3826.2809487502545</v>
      </c>
      <c r="Q102" s="692">
        <f>'DNSP Data Inputs 2013-15'!Q102</f>
        <v>3864.6927280900645</v>
      </c>
    </row>
    <row r="103" spans="1:17" x14ac:dyDescent="0.25">
      <c r="A103" s="84"/>
      <c r="B103" s="93"/>
      <c r="D103" s="339"/>
      <c r="E103" s="341"/>
      <c r="F103" s="334"/>
      <c r="G103" s="334"/>
      <c r="H103" s="334"/>
      <c r="I103" s="334"/>
      <c r="J103" s="335"/>
      <c r="K103" s="2"/>
      <c r="L103" s="2"/>
      <c r="M103" s="2"/>
      <c r="N103" s="2"/>
      <c r="O103" s="23"/>
      <c r="P103" s="20"/>
      <c r="Q103" s="729"/>
    </row>
    <row r="104" spans="1:17" x14ac:dyDescent="0.25">
      <c r="A104" s="84"/>
      <c r="B104" s="93"/>
      <c r="D104" s="339"/>
      <c r="E104" s="341"/>
      <c r="F104" s="334"/>
      <c r="G104" s="334"/>
      <c r="H104" s="334"/>
      <c r="I104" s="334"/>
      <c r="J104" s="335"/>
      <c r="K104" s="2"/>
      <c r="L104" s="2"/>
      <c r="M104" s="2"/>
      <c r="N104" s="2"/>
      <c r="O104" s="23"/>
      <c r="P104" s="20"/>
      <c r="Q104" s="729"/>
    </row>
    <row r="105" spans="1:17" x14ac:dyDescent="0.25">
      <c r="A105" s="90" t="s">
        <v>29</v>
      </c>
      <c r="D105" s="332"/>
      <c r="E105" s="521" t="s">
        <v>28</v>
      </c>
      <c r="F105" s="701"/>
      <c r="G105" s="701"/>
      <c r="H105" s="701"/>
      <c r="I105" s="701"/>
      <c r="J105" s="336"/>
      <c r="K105" s="120"/>
      <c r="L105" s="2"/>
      <c r="M105" s="2"/>
      <c r="N105" s="2"/>
      <c r="O105" s="23"/>
      <c r="P105" s="20"/>
      <c r="Q105" s="729"/>
    </row>
    <row r="106" spans="1:17" x14ac:dyDescent="0.25">
      <c r="A106" s="84" t="s">
        <v>30</v>
      </c>
      <c r="B106" s="93"/>
      <c r="D106" s="334"/>
      <c r="E106" s="715">
        <v>0</v>
      </c>
      <c r="F106" s="741">
        <v>0</v>
      </c>
      <c r="G106" s="741">
        <v>0</v>
      </c>
      <c r="H106" s="741">
        <v>0</v>
      </c>
      <c r="I106" s="741">
        <v>0</v>
      </c>
      <c r="J106" s="695">
        <f>'DNSP Data Inputs 2013-15'!J106</f>
        <v>0</v>
      </c>
      <c r="K106" s="121"/>
      <c r="L106" s="2"/>
      <c r="M106" s="2"/>
      <c r="N106" s="2"/>
      <c r="O106" s="691">
        <f>'DNSP Data Inputs 2013-15'!O106</f>
        <v>0</v>
      </c>
      <c r="P106" s="744">
        <f>'DNSP Data Inputs 2013-15'!P106</f>
        <v>0</v>
      </c>
      <c r="Q106" s="692">
        <f>'DNSP Data Inputs 2013-15'!Q106</f>
        <v>0</v>
      </c>
    </row>
    <row r="107" spans="1:17" x14ac:dyDescent="0.25">
      <c r="A107" s="84" t="s">
        <v>31</v>
      </c>
      <c r="B107" s="93"/>
      <c r="D107" s="338"/>
      <c r="E107" s="715">
        <v>0</v>
      </c>
      <c r="F107" s="741">
        <v>0</v>
      </c>
      <c r="G107" s="741">
        <v>0</v>
      </c>
      <c r="H107" s="741">
        <v>0</v>
      </c>
      <c r="I107" s="741">
        <v>0</v>
      </c>
      <c r="J107" s="695">
        <f>'DNSP Data Inputs 2013-15'!J107</f>
        <v>0</v>
      </c>
      <c r="K107" s="121"/>
      <c r="L107" s="2"/>
      <c r="M107" s="2"/>
      <c r="N107" s="2"/>
      <c r="O107" s="691">
        <f>'DNSP Data Inputs 2013-15'!O107</f>
        <v>0</v>
      </c>
      <c r="P107" s="744">
        <f>'DNSP Data Inputs 2013-15'!P107</f>
        <v>0</v>
      </c>
      <c r="Q107" s="692">
        <f>'DNSP Data Inputs 2013-15'!Q107</f>
        <v>0</v>
      </c>
    </row>
    <row r="108" spans="1:17" x14ac:dyDescent="0.25">
      <c r="A108" s="84" t="s">
        <v>32</v>
      </c>
      <c r="B108" s="93"/>
      <c r="D108" s="334"/>
      <c r="E108" s="715">
        <v>0</v>
      </c>
      <c r="F108" s="741">
        <v>0</v>
      </c>
      <c r="G108" s="741">
        <v>0</v>
      </c>
      <c r="H108" s="741">
        <v>0</v>
      </c>
      <c r="I108" s="741">
        <v>0</v>
      </c>
      <c r="J108" s="695">
        <f>'DNSP Data Inputs 2013-15'!J108</f>
        <v>0</v>
      </c>
      <c r="K108" s="121"/>
      <c r="L108" s="2"/>
      <c r="M108" s="2"/>
      <c r="N108" s="2"/>
      <c r="O108" s="691">
        <f>'DNSP Data Inputs 2013-15'!O108</f>
        <v>0</v>
      </c>
      <c r="P108" s="744">
        <f>'DNSP Data Inputs 2013-15'!P108</f>
        <v>0</v>
      </c>
      <c r="Q108" s="692">
        <f>'DNSP Data Inputs 2013-15'!Q108</f>
        <v>0</v>
      </c>
    </row>
    <row r="109" spans="1:17" x14ac:dyDescent="0.25">
      <c r="A109" s="84" t="s">
        <v>33</v>
      </c>
      <c r="B109" s="93"/>
      <c r="D109" s="334"/>
      <c r="E109" s="715">
        <v>0</v>
      </c>
      <c r="F109" s="741">
        <v>0</v>
      </c>
      <c r="G109" s="741">
        <v>0</v>
      </c>
      <c r="H109" s="741">
        <v>0</v>
      </c>
      <c r="I109" s="741">
        <v>0</v>
      </c>
      <c r="J109" s="695">
        <f>'DNSP Data Inputs 2013-15'!J109</f>
        <v>0</v>
      </c>
      <c r="K109" s="121"/>
      <c r="L109" s="2"/>
      <c r="M109" s="2"/>
      <c r="N109" s="2"/>
      <c r="O109" s="691">
        <f>'DNSP Data Inputs 2013-15'!O109</f>
        <v>0</v>
      </c>
      <c r="P109" s="744">
        <f>'DNSP Data Inputs 2013-15'!P109</f>
        <v>0</v>
      </c>
      <c r="Q109" s="692">
        <f>'DNSP Data Inputs 2013-15'!Q109</f>
        <v>0</v>
      </c>
    </row>
    <row r="110" spans="1:17" x14ac:dyDescent="0.25">
      <c r="A110" s="84" t="s">
        <v>34</v>
      </c>
      <c r="B110" s="93"/>
      <c r="D110" s="338"/>
      <c r="E110" s="715">
        <v>0</v>
      </c>
      <c r="F110" s="741">
        <v>0</v>
      </c>
      <c r="G110" s="741">
        <v>0</v>
      </c>
      <c r="H110" s="741">
        <v>0</v>
      </c>
      <c r="I110" s="741">
        <v>0</v>
      </c>
      <c r="J110" s="695">
        <f>'DNSP Data Inputs 2013-15'!J110</f>
        <v>0</v>
      </c>
      <c r="K110" s="121"/>
      <c r="L110" s="2"/>
      <c r="M110" s="2"/>
      <c r="N110" s="2"/>
      <c r="O110" s="691">
        <f>'DNSP Data Inputs 2013-15'!O110</f>
        <v>0</v>
      </c>
      <c r="P110" s="744">
        <f>'DNSP Data Inputs 2013-15'!P110</f>
        <v>0</v>
      </c>
      <c r="Q110" s="692">
        <f>'DNSP Data Inputs 2013-15'!Q110</f>
        <v>0</v>
      </c>
    </row>
    <row r="111" spans="1:17" x14ac:dyDescent="0.25">
      <c r="A111" s="84" t="s">
        <v>35</v>
      </c>
      <c r="B111" s="91"/>
      <c r="D111" s="334"/>
      <c r="E111" s="715">
        <v>0</v>
      </c>
      <c r="F111" s="741">
        <v>0</v>
      </c>
      <c r="G111" s="741">
        <v>0</v>
      </c>
      <c r="H111" s="741">
        <v>0</v>
      </c>
      <c r="I111" s="741">
        <v>0</v>
      </c>
      <c r="J111" s="695">
        <f>'DNSP Data Inputs 2013-15'!J111</f>
        <v>0</v>
      </c>
      <c r="K111" s="121"/>
      <c r="L111" s="2"/>
      <c r="M111" s="2"/>
      <c r="N111" s="2"/>
      <c r="O111" s="691">
        <f>'DNSP Data Inputs 2013-15'!O111</f>
        <v>0</v>
      </c>
      <c r="P111" s="744">
        <f>'DNSP Data Inputs 2013-15'!P111</f>
        <v>0</v>
      </c>
      <c r="Q111" s="692">
        <f>'DNSP Data Inputs 2013-15'!Q111</f>
        <v>0</v>
      </c>
    </row>
    <row r="112" spans="1:17" x14ac:dyDescent="0.25">
      <c r="A112" s="565" t="s">
        <v>370</v>
      </c>
      <c r="B112" s="91"/>
      <c r="D112" s="338"/>
      <c r="E112" s="715">
        <v>0</v>
      </c>
      <c r="F112" s="741">
        <v>0</v>
      </c>
      <c r="G112" s="741">
        <v>0</v>
      </c>
      <c r="H112" s="741">
        <v>0</v>
      </c>
      <c r="I112" s="741">
        <v>0</v>
      </c>
      <c r="J112" s="695">
        <f>'DNSP Data Inputs 2013-15'!J112</f>
        <v>0</v>
      </c>
      <c r="K112" s="121"/>
      <c r="L112" s="2"/>
      <c r="M112" s="2"/>
      <c r="N112" s="2"/>
      <c r="O112" s="691">
        <f>'DNSP Data Inputs 2013-15'!O112</f>
        <v>0</v>
      </c>
      <c r="P112" s="744">
        <f>'DNSP Data Inputs 2013-15'!P112</f>
        <v>0</v>
      </c>
      <c r="Q112" s="692">
        <f>'DNSP Data Inputs 2013-15'!Q112</f>
        <v>0</v>
      </c>
    </row>
    <row r="113" spans="1:17" x14ac:dyDescent="0.25">
      <c r="A113" s="565" t="s">
        <v>371</v>
      </c>
      <c r="B113" s="91"/>
      <c r="D113" s="338"/>
      <c r="E113" s="715">
        <v>0</v>
      </c>
      <c r="F113" s="741">
        <v>0</v>
      </c>
      <c r="G113" s="741">
        <v>0</v>
      </c>
      <c r="H113" s="741">
        <v>0</v>
      </c>
      <c r="I113" s="741">
        <v>0</v>
      </c>
      <c r="J113" s="695">
        <f>'DNSP Data Inputs 2013-15'!J113</f>
        <v>0</v>
      </c>
      <c r="K113" s="121"/>
      <c r="L113" s="2"/>
      <c r="M113" s="2"/>
      <c r="N113" s="2"/>
      <c r="O113" s="691">
        <f>'DNSP Data Inputs 2013-15'!O113</f>
        <v>0</v>
      </c>
      <c r="P113" s="744">
        <f>'DNSP Data Inputs 2013-15'!P113</f>
        <v>0</v>
      </c>
      <c r="Q113" s="692">
        <f>'DNSP Data Inputs 2013-15'!Q113</f>
        <v>0</v>
      </c>
    </row>
    <row r="114" spans="1:17" x14ac:dyDescent="0.25">
      <c r="A114" s="565" t="s">
        <v>372</v>
      </c>
      <c r="B114" s="91"/>
      <c r="D114" s="338"/>
      <c r="E114" s="715">
        <v>0</v>
      </c>
      <c r="F114" s="741">
        <v>0</v>
      </c>
      <c r="G114" s="741">
        <v>0</v>
      </c>
      <c r="H114" s="741">
        <v>0</v>
      </c>
      <c r="I114" s="741">
        <v>0</v>
      </c>
      <c r="J114" s="695">
        <f>'DNSP Data Inputs 2013-15'!J114</f>
        <v>0</v>
      </c>
      <c r="K114" s="121"/>
      <c r="L114" s="2"/>
      <c r="M114" s="2"/>
      <c r="N114" s="2"/>
      <c r="O114" s="691">
        <f>'DNSP Data Inputs 2013-15'!O114</f>
        <v>0</v>
      </c>
      <c r="P114" s="744">
        <f>'DNSP Data Inputs 2013-15'!P114</f>
        <v>0</v>
      </c>
      <c r="Q114" s="692">
        <f>'DNSP Data Inputs 2013-15'!Q114</f>
        <v>0</v>
      </c>
    </row>
    <row r="115" spans="1:17" x14ac:dyDescent="0.25">
      <c r="A115" s="565" t="s">
        <v>373</v>
      </c>
      <c r="D115" s="338"/>
      <c r="E115" s="715">
        <v>0</v>
      </c>
      <c r="F115" s="741">
        <v>0</v>
      </c>
      <c r="G115" s="741">
        <v>0</v>
      </c>
      <c r="H115" s="741">
        <v>0</v>
      </c>
      <c r="I115" s="741">
        <v>0</v>
      </c>
      <c r="J115" s="695">
        <f>'DNSP Data Inputs 2013-15'!J115</f>
        <v>0</v>
      </c>
      <c r="K115" s="121"/>
      <c r="L115" s="2"/>
      <c r="M115" s="2"/>
      <c r="N115" s="2"/>
      <c r="O115" s="691">
        <f>'DNSP Data Inputs 2013-15'!O115</f>
        <v>0</v>
      </c>
      <c r="P115" s="744">
        <f>'DNSP Data Inputs 2013-15'!P115</f>
        <v>0</v>
      </c>
      <c r="Q115" s="692">
        <f>'DNSP Data Inputs 2013-15'!Q115</f>
        <v>0</v>
      </c>
    </row>
    <row r="116" spans="1:17" x14ac:dyDescent="0.25">
      <c r="A116" s="565" t="s">
        <v>374</v>
      </c>
      <c r="B116" s="60"/>
      <c r="D116" s="338"/>
      <c r="E116" s="716">
        <v>0</v>
      </c>
      <c r="F116" s="742">
        <v>0</v>
      </c>
      <c r="G116" s="742">
        <v>0</v>
      </c>
      <c r="H116" s="742">
        <v>0</v>
      </c>
      <c r="I116" s="742">
        <v>0</v>
      </c>
      <c r="J116" s="696">
        <f>'DNSP Data Inputs 2013-15'!J116</f>
        <v>0</v>
      </c>
      <c r="K116" s="121"/>
      <c r="L116" s="2"/>
      <c r="M116" s="2"/>
      <c r="N116" s="2"/>
      <c r="O116" s="693">
        <f>'DNSP Data Inputs 2013-15'!O116</f>
        <v>0</v>
      </c>
      <c r="P116" s="745">
        <f>'DNSP Data Inputs 2013-15'!P116</f>
        <v>0</v>
      </c>
      <c r="Q116" s="694">
        <f>'DNSP Data Inputs 2013-15'!Q116</f>
        <v>0</v>
      </c>
    </row>
    <row r="117" spans="1:17" x14ac:dyDescent="0.25">
      <c r="B117" s="60"/>
      <c r="L117" s="2"/>
    </row>
    <row r="119" spans="1:17" ht="13.8" thickBot="1" x14ac:dyDescent="0.3">
      <c r="A119" s="70"/>
      <c r="B119" s="456"/>
      <c r="C119" s="70"/>
      <c r="D119" s="70"/>
      <c r="E119" s="70"/>
      <c r="F119" s="70"/>
      <c r="G119" s="70"/>
      <c r="H119" s="70"/>
      <c r="I119" s="70"/>
      <c r="J119" s="70"/>
      <c r="K119" s="71"/>
      <c r="L119" s="70"/>
      <c r="M119" s="70"/>
      <c r="N119" s="70"/>
      <c r="O119" s="70"/>
      <c r="P119" s="70"/>
      <c r="Q119" s="70"/>
    </row>
    <row r="122" spans="1:17" ht="15.6" x14ac:dyDescent="0.3">
      <c r="A122" s="98" t="s">
        <v>39</v>
      </c>
    </row>
    <row r="124" spans="1:17" s="1" customFormat="1" x14ac:dyDescent="0.25">
      <c r="A124" s="43" t="s">
        <v>388</v>
      </c>
      <c r="B124" s="85"/>
      <c r="C124" s="698" t="s">
        <v>386</v>
      </c>
      <c r="D124" s="19"/>
      <c r="E124" s="19"/>
      <c r="F124" s="19"/>
      <c r="G124" s="19"/>
      <c r="H124" s="19"/>
      <c r="I124" s="698" t="s">
        <v>389</v>
      </c>
      <c r="J124" s="19"/>
      <c r="K124" s="19"/>
      <c r="L124" s="2"/>
      <c r="M124" s="2"/>
      <c r="N124" s="2"/>
      <c r="O124" s="2"/>
    </row>
    <row r="125" spans="1:17" s="1" customFormat="1" x14ac:dyDescent="0.25">
      <c r="A125" s="30"/>
      <c r="B125" s="85"/>
      <c r="C125" s="699" t="s">
        <v>387</v>
      </c>
      <c r="D125" s="2"/>
      <c r="E125" s="2"/>
      <c r="F125" s="2"/>
      <c r="G125" s="2"/>
      <c r="H125" s="2"/>
      <c r="I125" s="699" t="s">
        <v>390</v>
      </c>
      <c r="J125" s="2"/>
      <c r="K125" s="2"/>
      <c r="L125" s="2"/>
      <c r="M125" s="2"/>
      <c r="N125" s="2"/>
      <c r="O125" s="2"/>
    </row>
    <row r="126" spans="1:17" x14ac:dyDescent="0.25">
      <c r="A126" s="38" t="s">
        <v>9</v>
      </c>
      <c r="C126" s="2"/>
      <c r="D126" s="15"/>
      <c r="E126" s="15"/>
      <c r="F126" s="15"/>
      <c r="G126" s="15"/>
      <c r="H126" s="15"/>
      <c r="I126" s="2"/>
      <c r="J126" s="15"/>
      <c r="K126" s="15"/>
      <c r="N126" s="2"/>
      <c r="O126" s="2"/>
    </row>
    <row r="127" spans="1:17" x14ac:dyDescent="0.25">
      <c r="A127" s="318" t="s">
        <v>10</v>
      </c>
      <c r="C127" s="113">
        <v>4.6300000000000001E-2</v>
      </c>
      <c r="D127" s="15"/>
      <c r="E127" s="15"/>
      <c r="F127" s="15"/>
      <c r="G127" s="15"/>
      <c r="H127" s="15"/>
      <c r="I127" s="113">
        <v>4.02E-2</v>
      </c>
      <c r="J127" s="15"/>
      <c r="K127" s="15"/>
      <c r="N127" s="2"/>
      <c r="O127" s="2"/>
    </row>
    <row r="128" spans="1:17" x14ac:dyDescent="0.25">
      <c r="A128" s="1" t="s">
        <v>11</v>
      </c>
      <c r="C128" s="113">
        <f>4%+0.125%</f>
        <v>4.1250000000000002E-2</v>
      </c>
      <c r="I128" s="113">
        <v>2.53E-2</v>
      </c>
      <c r="N128" s="2"/>
      <c r="O128" s="2"/>
    </row>
    <row r="129" spans="1:16" x14ac:dyDescent="0.25">
      <c r="C129" s="44"/>
      <c r="D129" s="31"/>
      <c r="E129" s="31"/>
      <c r="F129" s="31"/>
      <c r="G129" s="31"/>
      <c r="H129" s="31"/>
      <c r="I129" s="44"/>
      <c r="J129" s="31"/>
      <c r="K129" s="122"/>
      <c r="N129" s="2"/>
      <c r="O129" s="2"/>
    </row>
    <row r="130" spans="1:16" x14ac:dyDescent="0.25">
      <c r="A130" s="58" t="s">
        <v>12</v>
      </c>
      <c r="D130" s="31"/>
      <c r="E130" s="31"/>
      <c r="F130" s="31"/>
      <c r="G130" s="31"/>
      <c r="H130" s="31"/>
      <c r="J130" s="31"/>
      <c r="K130" s="122"/>
    </row>
    <row r="131" spans="1:16" x14ac:dyDescent="0.25">
      <c r="A131" s="21" t="s">
        <v>13</v>
      </c>
      <c r="C131" s="102">
        <f>'Data 2006-08'!C130</f>
        <v>0.06</v>
      </c>
      <c r="I131" s="708">
        <v>6.5000000000000002E-2</v>
      </c>
    </row>
    <row r="132" spans="1:16" x14ac:dyDescent="0.25">
      <c r="A132" s="21" t="s">
        <v>14</v>
      </c>
      <c r="C132" s="103">
        <f>'Data 2006-08'!C131</f>
        <v>1</v>
      </c>
      <c r="I132" s="709">
        <v>0.8</v>
      </c>
    </row>
    <row r="133" spans="1:16" x14ac:dyDescent="0.25">
      <c r="A133" s="21" t="s">
        <v>15</v>
      </c>
      <c r="B133" s="60"/>
      <c r="C133" s="104">
        <f>'Data 2006-08'!C133</f>
        <v>0.6</v>
      </c>
      <c r="I133" s="710">
        <v>0.6</v>
      </c>
    </row>
    <row r="134" spans="1:16" x14ac:dyDescent="0.25">
      <c r="A134" s="21" t="s">
        <v>16</v>
      </c>
      <c r="B134" s="60"/>
      <c r="C134" s="105">
        <f>'Data 2006-08'!C134</f>
        <v>2.5600000000000001E-2</v>
      </c>
      <c r="I134" s="711">
        <v>2.47E-2</v>
      </c>
    </row>
    <row r="135" spans="1:16" x14ac:dyDescent="0.25">
      <c r="A135" s="1"/>
      <c r="C135" s="54"/>
      <c r="I135" s="54"/>
    </row>
    <row r="136" spans="1:16" x14ac:dyDescent="0.25">
      <c r="A136" s="448" t="s">
        <v>19</v>
      </c>
    </row>
    <row r="137" spans="1:16" x14ac:dyDescent="0.25">
      <c r="A137" s="21" t="s">
        <v>88</v>
      </c>
      <c r="C137" s="311">
        <v>0.3</v>
      </c>
      <c r="E137" s="45"/>
      <c r="F137" s="45"/>
      <c r="G137" s="45"/>
      <c r="H137" s="45"/>
      <c r="I137" s="311">
        <v>0.3</v>
      </c>
      <c r="J137" s="45"/>
      <c r="K137" s="21"/>
      <c r="P137" s="56"/>
    </row>
    <row r="138" spans="1:16" x14ac:dyDescent="0.25">
      <c r="A138" s="1" t="s">
        <v>17</v>
      </c>
      <c r="C138" s="114">
        <v>0.65</v>
      </c>
      <c r="E138" s="1"/>
      <c r="F138" s="1"/>
      <c r="G138" s="1"/>
      <c r="H138" s="1"/>
      <c r="I138" s="709">
        <v>0.25</v>
      </c>
      <c r="J138" s="1"/>
      <c r="K138" s="21"/>
      <c r="P138" s="319"/>
    </row>
    <row r="139" spans="1:16" s="1" customFormat="1" x14ac:dyDescent="0.25">
      <c r="A139" s="21" t="s">
        <v>15</v>
      </c>
      <c r="B139" s="85"/>
      <c r="C139" s="104">
        <f>C133</f>
        <v>0.6</v>
      </c>
      <c r="I139" s="104">
        <f>I133</f>
        <v>0.6</v>
      </c>
      <c r="L139" s="2"/>
      <c r="M139" s="2"/>
      <c r="N139" s="2"/>
      <c r="O139" s="2"/>
    </row>
    <row r="140" spans="1:16" x14ac:dyDescent="0.25">
      <c r="A140" s="1"/>
      <c r="C140" s="54"/>
    </row>
    <row r="141" spans="1:16" s="1" customFormat="1" x14ac:dyDescent="0.25">
      <c r="B141" s="85"/>
      <c r="C141" s="54"/>
      <c r="L141" s="2"/>
      <c r="M141" s="2"/>
      <c r="N141" s="2"/>
      <c r="O141" s="2"/>
    </row>
    <row r="142" spans="1:16" x14ac:dyDescent="0.25">
      <c r="D142" s="717">
        <f>D$1</f>
        <v>2009</v>
      </c>
      <c r="E142" s="887">
        <f t="shared" ref="E142:J142" si="32">E$1</f>
        <v>2010</v>
      </c>
      <c r="F142" s="887">
        <f t="shared" si="32"/>
        <v>2011</v>
      </c>
      <c r="G142" s="887">
        <f t="shared" si="32"/>
        <v>2012</v>
      </c>
      <c r="H142" s="887">
        <f t="shared" si="32"/>
        <v>2013</v>
      </c>
      <c r="I142" s="887">
        <f t="shared" si="32"/>
        <v>2014</v>
      </c>
      <c r="J142" s="888">
        <f t="shared" si="32"/>
        <v>2015</v>
      </c>
      <c r="K142" s="56"/>
      <c r="L142" s="975" t="s">
        <v>36</v>
      </c>
      <c r="M142" s="960"/>
      <c r="N142" s="528" t="s">
        <v>75</v>
      </c>
    </row>
    <row r="143" spans="1:16" x14ac:dyDescent="0.25">
      <c r="A143" s="43" t="s">
        <v>86</v>
      </c>
      <c r="D143" s="566" t="s">
        <v>20</v>
      </c>
      <c r="E143" s="685" t="s">
        <v>20</v>
      </c>
      <c r="F143" s="685" t="s">
        <v>20</v>
      </c>
      <c r="G143" s="685" t="s">
        <v>20</v>
      </c>
      <c r="H143" s="685" t="s">
        <v>20</v>
      </c>
      <c r="I143" s="685" t="s">
        <v>20</v>
      </c>
      <c r="J143" s="952" t="s">
        <v>20</v>
      </c>
      <c r="K143" s="110"/>
      <c r="L143" s="313">
        <v>39355</v>
      </c>
      <c r="M143" s="686">
        <f>'Data 2006-08'!D150</f>
        <v>158.6</v>
      </c>
    </row>
    <row r="144" spans="1:16" x14ac:dyDescent="0.25">
      <c r="A144" s="21" t="s">
        <v>87</v>
      </c>
      <c r="D144" s="707">
        <f>'Data 2006-08'!F151</f>
        <v>4.9810844892812067E-2</v>
      </c>
      <c r="E144" s="707">
        <f>N145</f>
        <v>1.2612612612612484E-2</v>
      </c>
      <c r="F144" s="707">
        <f>N146</f>
        <v>2.7876631079478242E-2</v>
      </c>
      <c r="G144" s="799">
        <f>N147</f>
        <v>3.5199076745527913E-2</v>
      </c>
      <c r="H144" s="799">
        <f>N151</f>
        <v>2.0040080160320661E-2</v>
      </c>
      <c r="I144" s="799">
        <f>N152</f>
        <v>2.16110019646365E-2</v>
      </c>
      <c r="J144" s="799">
        <f>N153</f>
        <v>2.3076923076923217E-2</v>
      </c>
      <c r="K144" s="115"/>
      <c r="L144" s="314">
        <v>39721</v>
      </c>
      <c r="M144" s="687">
        <f>'Data 2006-08'!D151</f>
        <v>166.5</v>
      </c>
      <c r="N144" s="315">
        <f>M144/M143-1</f>
        <v>4.9810844892812067E-2</v>
      </c>
    </row>
    <row r="145" spans="1:15" x14ac:dyDescent="0.25">
      <c r="A145" s="21" t="s">
        <v>36</v>
      </c>
      <c r="D145" s="61">
        <f>1+D144</f>
        <v>1.0498108448928121</v>
      </c>
      <c r="E145" s="61">
        <f t="shared" ref="E145:J145" si="33">D145*(1+E144)</f>
        <v>1.0630517023959645</v>
      </c>
      <c r="F145" s="61">
        <f t="shared" si="33"/>
        <v>1.0926860025220682</v>
      </c>
      <c r="G145" s="61">
        <f t="shared" si="33"/>
        <v>1.1311475409836065</v>
      </c>
      <c r="H145" s="61">
        <f t="shared" si="33"/>
        <v>1.1538158283780675</v>
      </c>
      <c r="I145" s="61">
        <f t="shared" si="33"/>
        <v>1.1787509445119746</v>
      </c>
      <c r="J145" s="61">
        <f t="shared" si="33"/>
        <v>1.205952889385328</v>
      </c>
      <c r="K145" s="61"/>
      <c r="L145" s="704">
        <v>40086</v>
      </c>
      <c r="M145" s="688">
        <v>168.6</v>
      </c>
      <c r="N145" s="315">
        <f>M145/M144-1</f>
        <v>1.2612612612612484E-2</v>
      </c>
    </row>
    <row r="146" spans="1:15" x14ac:dyDescent="0.25">
      <c r="B146" s="100"/>
      <c r="L146" s="704">
        <v>40451</v>
      </c>
      <c r="M146" s="688">
        <v>173.3</v>
      </c>
      <c r="N146" s="315">
        <f>M146/M145-1</f>
        <v>2.7876631079478242E-2</v>
      </c>
    </row>
    <row r="147" spans="1:15" x14ac:dyDescent="0.25">
      <c r="B147" s="100"/>
      <c r="L147" s="706">
        <v>40816</v>
      </c>
      <c r="M147" s="876">
        <v>179.4</v>
      </c>
      <c r="N147" s="315">
        <f>M147/M146-1</f>
        <v>3.5199076745527913E-2</v>
      </c>
    </row>
    <row r="148" spans="1:15" x14ac:dyDescent="0.25">
      <c r="B148" s="100"/>
      <c r="N148" s="2"/>
    </row>
    <row r="149" spans="1:15" x14ac:dyDescent="0.25">
      <c r="B149" s="100"/>
      <c r="L149" s="877" t="s">
        <v>406</v>
      </c>
      <c r="M149" s="806"/>
      <c r="N149" s="806"/>
    </row>
    <row r="150" spans="1:15" x14ac:dyDescent="0.25">
      <c r="B150" s="100"/>
      <c r="L150" s="878">
        <v>40816</v>
      </c>
      <c r="M150" s="879">
        <v>99.8</v>
      </c>
      <c r="N150" s="806"/>
    </row>
    <row r="151" spans="1:15" x14ac:dyDescent="0.25">
      <c r="B151" s="100"/>
      <c r="L151" s="880">
        <v>41182</v>
      </c>
      <c r="M151" s="705">
        <v>101.8</v>
      </c>
      <c r="N151" s="315">
        <f>M151/M150-1</f>
        <v>2.0040080160320661E-2</v>
      </c>
    </row>
    <row r="152" spans="1:15" s="1" customFormat="1" x14ac:dyDescent="0.25">
      <c r="A152" s="43" t="s">
        <v>110</v>
      </c>
      <c r="B152" s="100"/>
      <c r="C152" s="33" t="s">
        <v>7</v>
      </c>
      <c r="D152" s="19"/>
      <c r="E152" s="19"/>
      <c r="F152" s="19"/>
      <c r="G152" s="19"/>
      <c r="H152" s="19"/>
      <c r="I152" s="19"/>
      <c r="J152" s="19"/>
      <c r="K152" s="19"/>
      <c r="L152" s="880">
        <v>41547</v>
      </c>
      <c r="M152" s="688">
        <v>104</v>
      </c>
      <c r="N152" s="315">
        <f>M152/M151-1</f>
        <v>2.16110019646365E-2</v>
      </c>
      <c r="O152" s="21"/>
    </row>
    <row r="153" spans="1:15" s="1" customFormat="1" x14ac:dyDescent="0.25">
      <c r="A153" s="7"/>
      <c r="B153" s="457"/>
      <c r="C153" s="34" t="s">
        <v>8</v>
      </c>
      <c r="D153" s="19"/>
      <c r="E153" s="19"/>
      <c r="F153" s="19"/>
      <c r="G153" s="19"/>
      <c r="H153" s="19"/>
      <c r="I153" s="19"/>
      <c r="J153" s="19"/>
      <c r="K153" s="19"/>
      <c r="L153" s="881">
        <v>41912</v>
      </c>
      <c r="M153" s="689">
        <v>106.4</v>
      </c>
      <c r="N153" s="315">
        <f>M153/M152-1</f>
        <v>2.3076923076923217E-2</v>
      </c>
      <c r="O153" s="21"/>
    </row>
    <row r="154" spans="1:15" s="1" customFormat="1" x14ac:dyDescent="0.25">
      <c r="A154" s="318" t="s">
        <v>367</v>
      </c>
      <c r="B154" s="85"/>
      <c r="C154" s="111">
        <v>15</v>
      </c>
      <c r="D154" s="19"/>
      <c r="E154" s="19"/>
      <c r="F154" s="19"/>
      <c r="G154" s="19"/>
      <c r="H154" s="19"/>
      <c r="I154" s="19"/>
      <c r="J154" s="19"/>
      <c r="K154" s="19"/>
      <c r="L154" s="2"/>
      <c r="M154" s="21"/>
      <c r="N154" s="21"/>
      <c r="O154" s="21"/>
    </row>
    <row r="155" spans="1:15" s="1" customFormat="1" x14ac:dyDescent="0.25">
      <c r="A155" s="84" t="s">
        <v>277</v>
      </c>
      <c r="B155" s="85"/>
      <c r="C155" s="317">
        <v>7</v>
      </c>
      <c r="D155" s="19"/>
      <c r="E155" s="19"/>
      <c r="F155" s="19"/>
      <c r="G155" s="19"/>
      <c r="H155" s="19"/>
      <c r="I155" s="19"/>
      <c r="J155" s="19"/>
      <c r="K155" s="19"/>
      <c r="L155" s="2"/>
      <c r="M155" s="21"/>
      <c r="N155" s="21"/>
      <c r="O155" s="21"/>
    </row>
    <row r="156" spans="1:15" s="1" customFormat="1" x14ac:dyDescent="0.25">
      <c r="A156" s="84" t="s">
        <v>279</v>
      </c>
      <c r="B156" s="85"/>
      <c r="C156" s="317">
        <v>7</v>
      </c>
      <c r="D156" s="19"/>
      <c r="E156" s="19"/>
      <c r="F156" s="19"/>
      <c r="G156" s="19"/>
      <c r="H156" s="19"/>
      <c r="I156" s="19"/>
      <c r="J156" s="19"/>
      <c r="K156" s="19"/>
      <c r="L156" s="2"/>
      <c r="M156" s="21"/>
      <c r="N156" s="21"/>
      <c r="O156" s="21"/>
    </row>
    <row r="157" spans="1:15" s="1" customFormat="1" x14ac:dyDescent="0.25">
      <c r="A157" s="318" t="s">
        <v>278</v>
      </c>
      <c r="B157" s="55"/>
      <c r="C157" s="112">
        <v>7</v>
      </c>
      <c r="D157" s="19"/>
      <c r="E157" s="19"/>
      <c r="F157" s="19"/>
      <c r="G157" s="19"/>
      <c r="H157" s="19"/>
      <c r="I157" s="19"/>
      <c r="J157" s="19"/>
      <c r="K157" s="19"/>
      <c r="L157" s="2"/>
      <c r="M157" s="21"/>
      <c r="N157" s="21"/>
      <c r="O157" s="21"/>
    </row>
    <row r="158" spans="1:15" x14ac:dyDescent="0.25">
      <c r="B158" s="451"/>
    </row>
    <row r="160" spans="1:15" x14ac:dyDescent="0.25">
      <c r="A160" s="74" t="s">
        <v>89</v>
      </c>
      <c r="B160" s="1"/>
      <c r="C160" s="84"/>
    </row>
    <row r="161" spans="1:10" x14ac:dyDescent="0.25">
      <c r="A161" s="101" t="s">
        <v>276</v>
      </c>
      <c r="B161" s="1"/>
      <c r="C161" s="84"/>
    </row>
    <row r="162" spans="1:10" x14ac:dyDescent="0.25">
      <c r="A162" s="84" t="s">
        <v>368</v>
      </c>
      <c r="C162" s="116">
        <f>'Data 2006-08'!C176</f>
        <v>0.375</v>
      </c>
    </row>
    <row r="163" spans="1:10" x14ac:dyDescent="0.25">
      <c r="A163" s="84" t="s">
        <v>369</v>
      </c>
      <c r="C163" s="117">
        <f>'Data 2006-08'!C177</f>
        <v>0.06</v>
      </c>
    </row>
    <row r="164" spans="1:10" x14ac:dyDescent="0.25">
      <c r="A164" s="84" t="str">
        <f>'Data 2006-08'!A$178</f>
        <v>IT</v>
      </c>
      <c r="B164" s="433"/>
      <c r="C164" s="117">
        <f>'Data 2006-08'!C178</f>
        <v>0.4</v>
      </c>
    </row>
    <row r="165" spans="1:10" x14ac:dyDescent="0.25">
      <c r="A165" s="84" t="s">
        <v>279</v>
      </c>
      <c r="B165" s="457"/>
      <c r="C165" s="310">
        <f>1/7*1.5</f>
        <v>0.21428571428571427</v>
      </c>
    </row>
    <row r="166" spans="1:10" x14ac:dyDescent="0.25">
      <c r="A166" s="87" t="str">
        <f>'Data 2006-08'!A$179</f>
        <v>Other</v>
      </c>
      <c r="C166" s="118">
        <f>'Data 2006-08'!C179</f>
        <v>0.1764705882352941</v>
      </c>
    </row>
    <row r="169" spans="1:10" x14ac:dyDescent="0.25">
      <c r="A169" s="60" t="s">
        <v>391</v>
      </c>
      <c r="B169" s="108"/>
      <c r="D169" s="717">
        <f t="shared" ref="D169:J169" si="34">D$1</f>
        <v>2009</v>
      </c>
      <c r="E169" s="331">
        <f t="shared" si="34"/>
        <v>2010</v>
      </c>
      <c r="F169" s="331">
        <f t="shared" si="34"/>
        <v>2011</v>
      </c>
      <c r="G169" s="331">
        <f t="shared" si="34"/>
        <v>2012</v>
      </c>
      <c r="H169" s="331">
        <f t="shared" si="34"/>
        <v>2013</v>
      </c>
      <c r="I169" s="331">
        <f t="shared" si="34"/>
        <v>2014</v>
      </c>
      <c r="J169" s="331">
        <f t="shared" si="34"/>
        <v>2015</v>
      </c>
    </row>
    <row r="170" spans="1:10" x14ac:dyDescent="0.25">
      <c r="A170" s="30"/>
      <c r="D170" s="690" t="s">
        <v>20</v>
      </c>
      <c r="E170" s="712" t="s">
        <v>20</v>
      </c>
      <c r="F170" s="712" t="s">
        <v>20</v>
      </c>
      <c r="G170" s="712" t="s">
        <v>20</v>
      </c>
      <c r="H170" s="712" t="s">
        <v>20</v>
      </c>
      <c r="I170" s="712" t="s">
        <v>20</v>
      </c>
      <c r="J170" s="712" t="s">
        <v>20</v>
      </c>
    </row>
    <row r="171" spans="1:10" x14ac:dyDescent="0.25">
      <c r="A171" s="30"/>
      <c r="D171" s="718" t="s">
        <v>22</v>
      </c>
      <c r="E171" s="713" t="s">
        <v>22</v>
      </c>
      <c r="F171" s="713" t="s">
        <v>22</v>
      </c>
      <c r="G171" s="713" t="s">
        <v>22</v>
      </c>
      <c r="H171" s="713" t="s">
        <v>22</v>
      </c>
      <c r="I171" s="713" t="s">
        <v>22</v>
      </c>
      <c r="J171" s="713" t="s">
        <v>22</v>
      </c>
    </row>
    <row r="172" spans="1:10" x14ac:dyDescent="0.25">
      <c r="A172" s="30"/>
      <c r="B172" s="55"/>
      <c r="D172" s="719"/>
      <c r="E172" s="725"/>
      <c r="F172" s="725"/>
      <c r="G172" s="725"/>
      <c r="H172" s="725"/>
      <c r="I172" s="725"/>
      <c r="J172" s="40"/>
    </row>
    <row r="173" spans="1:10" x14ac:dyDescent="0.25">
      <c r="A173" s="90" t="s">
        <v>24</v>
      </c>
      <c r="D173" s="720" t="s">
        <v>365</v>
      </c>
      <c r="E173" s="725"/>
      <c r="F173" s="725"/>
      <c r="G173" s="725"/>
      <c r="H173" s="725"/>
      <c r="I173" s="725"/>
      <c r="J173" s="729"/>
    </row>
    <row r="174" spans="1:10" x14ac:dyDescent="0.25">
      <c r="A174" s="84" t="s">
        <v>26</v>
      </c>
      <c r="D174" s="721">
        <v>88.67</v>
      </c>
      <c r="E174" s="725"/>
      <c r="F174" s="725"/>
      <c r="G174" s="725"/>
      <c r="H174" s="725"/>
      <c r="I174" s="725"/>
      <c r="J174" s="729"/>
    </row>
    <row r="175" spans="1:10" x14ac:dyDescent="0.25">
      <c r="A175" s="84" t="s">
        <v>27</v>
      </c>
      <c r="D175" s="721">
        <v>30.42</v>
      </c>
      <c r="E175" s="725"/>
      <c r="F175" s="725"/>
      <c r="G175" s="725"/>
      <c r="H175" s="725"/>
      <c r="I175" s="725"/>
      <c r="J175" s="729"/>
    </row>
    <row r="176" spans="1:10" x14ac:dyDescent="0.25">
      <c r="A176" s="30"/>
      <c r="D176" s="722"/>
      <c r="E176" s="725"/>
      <c r="F176" s="725"/>
      <c r="G176" s="725"/>
      <c r="H176" s="725"/>
      <c r="I176" s="725"/>
      <c r="J176" s="729"/>
    </row>
    <row r="177" spans="1:17" x14ac:dyDescent="0.25">
      <c r="A177" s="90" t="s">
        <v>29</v>
      </c>
      <c r="B177" s="453"/>
      <c r="D177" s="723" t="s">
        <v>365</v>
      </c>
      <c r="E177" s="725"/>
      <c r="F177" s="725"/>
      <c r="G177" s="725"/>
      <c r="H177" s="725"/>
      <c r="I177" s="725"/>
      <c r="J177" s="729"/>
    </row>
    <row r="178" spans="1:17" x14ac:dyDescent="0.25">
      <c r="A178" s="57" t="s">
        <v>281</v>
      </c>
      <c r="B178" s="449"/>
      <c r="D178" s="721">
        <v>5.71</v>
      </c>
      <c r="E178" s="725"/>
      <c r="F178" s="725"/>
      <c r="G178" s="725"/>
      <c r="H178" s="725"/>
      <c r="I178" s="725"/>
      <c r="J178" s="729"/>
    </row>
    <row r="179" spans="1:17" x14ac:dyDescent="0.25">
      <c r="A179" s="57" t="s">
        <v>282</v>
      </c>
      <c r="B179" s="450"/>
      <c r="D179" s="721">
        <v>12.68</v>
      </c>
      <c r="E179" s="725"/>
      <c r="F179" s="725"/>
      <c r="G179" s="725"/>
      <c r="H179" s="725"/>
      <c r="I179" s="725"/>
      <c r="J179" s="729"/>
    </row>
    <row r="180" spans="1:17" x14ac:dyDescent="0.25">
      <c r="A180" s="57" t="s">
        <v>283</v>
      </c>
      <c r="B180" s="88"/>
      <c r="D180" s="721">
        <v>75.488003963798803</v>
      </c>
      <c r="E180" s="725"/>
      <c r="F180" s="725"/>
      <c r="G180" s="725"/>
      <c r="H180" s="725"/>
      <c r="I180" s="725"/>
      <c r="J180" s="729"/>
    </row>
    <row r="181" spans="1:17" x14ac:dyDescent="0.25">
      <c r="A181" s="57" t="s">
        <v>284</v>
      </c>
      <c r="B181" s="88"/>
      <c r="D181" s="724">
        <v>72.42</v>
      </c>
      <c r="E181" s="725"/>
      <c r="F181" s="725"/>
      <c r="G181" s="725"/>
      <c r="H181" s="725"/>
      <c r="I181" s="725"/>
      <c r="J181" s="729"/>
    </row>
    <row r="182" spans="1:17" x14ac:dyDescent="0.25">
      <c r="E182" s="725"/>
      <c r="F182" s="725"/>
      <c r="G182" s="725"/>
      <c r="H182" s="725"/>
      <c r="I182" s="725"/>
      <c r="J182" s="729"/>
    </row>
    <row r="183" spans="1:17" x14ac:dyDescent="0.25">
      <c r="E183" s="725"/>
      <c r="F183" s="725"/>
      <c r="G183" s="725"/>
      <c r="H183" s="725"/>
      <c r="I183" s="725"/>
      <c r="J183" s="729"/>
    </row>
    <row r="184" spans="1:17" x14ac:dyDescent="0.25">
      <c r="A184" s="90" t="s">
        <v>29</v>
      </c>
      <c r="E184" s="714" t="s">
        <v>25</v>
      </c>
      <c r="F184" s="725"/>
      <c r="G184" s="725"/>
      <c r="H184" s="725"/>
      <c r="I184" s="725"/>
      <c r="J184" s="729"/>
    </row>
    <row r="185" spans="1:17" x14ac:dyDescent="0.25">
      <c r="A185" s="21" t="s">
        <v>375</v>
      </c>
      <c r="E185" s="715">
        <v>86.1</v>
      </c>
      <c r="F185" s="715">
        <v>93.83</v>
      </c>
      <c r="G185" s="715">
        <v>107.25</v>
      </c>
      <c r="H185" s="715">
        <v>130.44999999999999</v>
      </c>
      <c r="I185" s="715">
        <v>160.21</v>
      </c>
      <c r="J185" s="729"/>
    </row>
    <row r="186" spans="1:17" x14ac:dyDescent="0.25">
      <c r="A186" s="21" t="s">
        <v>376</v>
      </c>
      <c r="E186" s="715">
        <v>98.93</v>
      </c>
      <c r="F186" s="715">
        <v>107.81</v>
      </c>
      <c r="G186" s="715">
        <v>123.24</v>
      </c>
      <c r="H186" s="715">
        <v>149.9</v>
      </c>
      <c r="I186" s="715">
        <v>184.1</v>
      </c>
      <c r="J186" s="729"/>
    </row>
    <row r="187" spans="1:17" x14ac:dyDescent="0.25">
      <c r="A187" s="21" t="s">
        <v>377</v>
      </c>
      <c r="E187" s="715">
        <v>119.51</v>
      </c>
      <c r="F187" s="715">
        <v>130.25</v>
      </c>
      <c r="G187" s="715">
        <v>148.88999999999999</v>
      </c>
      <c r="H187" s="715">
        <v>181.1</v>
      </c>
      <c r="I187" s="715">
        <v>222.42</v>
      </c>
      <c r="J187" s="729"/>
    </row>
    <row r="188" spans="1:17" x14ac:dyDescent="0.25">
      <c r="A188" s="21" t="s">
        <v>378</v>
      </c>
      <c r="E188" s="715">
        <v>132.58000000000001</v>
      </c>
      <c r="F188" s="715">
        <v>144.49</v>
      </c>
      <c r="G188" s="715">
        <v>165.16</v>
      </c>
      <c r="H188" s="715">
        <v>200.89</v>
      </c>
      <c r="I188" s="715">
        <v>246.73</v>
      </c>
      <c r="J188" s="729"/>
    </row>
    <row r="189" spans="1:17" x14ac:dyDescent="0.25">
      <c r="A189" s="21" t="s">
        <v>379</v>
      </c>
      <c r="B189" s="88"/>
      <c r="E189" s="716">
        <v>170.71</v>
      </c>
      <c r="F189" s="716">
        <v>186.05</v>
      </c>
      <c r="G189" s="716">
        <v>212.67</v>
      </c>
      <c r="H189" s="716">
        <v>258.68</v>
      </c>
      <c r="I189" s="716">
        <v>317.7</v>
      </c>
      <c r="J189" s="739"/>
    </row>
    <row r="190" spans="1:17" ht="13.8" thickBot="1" x14ac:dyDescent="0.3">
      <c r="A190" s="70"/>
      <c r="B190" s="459"/>
      <c r="C190" s="70"/>
      <c r="D190" s="70"/>
      <c r="E190" s="70"/>
      <c r="F190" s="70"/>
      <c r="G190" s="70"/>
      <c r="H190" s="70"/>
      <c r="I190" s="70"/>
      <c r="J190" s="70"/>
      <c r="K190" s="71"/>
      <c r="L190" s="70"/>
      <c r="M190" s="70"/>
      <c r="N190" s="70"/>
      <c r="O190" s="70"/>
      <c r="P190" s="70"/>
      <c r="Q190" s="70"/>
    </row>
    <row r="191" spans="1:17" x14ac:dyDescent="0.25">
      <c r="B191" s="450"/>
    </row>
    <row r="193" spans="2:2" x14ac:dyDescent="0.25">
      <c r="B193" s="88"/>
    </row>
    <row r="194" spans="2:2" x14ac:dyDescent="0.25">
      <c r="B194" s="88"/>
    </row>
    <row r="195" spans="2:2" x14ac:dyDescent="0.25">
      <c r="B195" s="88"/>
    </row>
    <row r="196" spans="2:2" x14ac:dyDescent="0.25">
      <c r="B196" s="88"/>
    </row>
    <row r="197" spans="2:2" x14ac:dyDescent="0.25">
      <c r="B197" s="458"/>
    </row>
    <row r="198" spans="2:2" x14ac:dyDescent="0.25">
      <c r="B198" s="88"/>
    </row>
    <row r="199" spans="2:2" x14ac:dyDescent="0.25">
      <c r="B199" s="88"/>
    </row>
    <row r="200" spans="2:2" x14ac:dyDescent="0.25">
      <c r="B200" s="433"/>
    </row>
    <row r="201" spans="2:2" x14ac:dyDescent="0.25">
      <c r="B201" s="88"/>
    </row>
    <row r="202" spans="2:2" x14ac:dyDescent="0.25">
      <c r="B202" s="88"/>
    </row>
    <row r="203" spans="2:2" x14ac:dyDescent="0.25">
      <c r="B203" s="450"/>
    </row>
    <row r="204" spans="2:2" x14ac:dyDescent="0.25">
      <c r="B204" s="88"/>
    </row>
    <row r="205" spans="2:2" x14ac:dyDescent="0.25">
      <c r="B205" s="88"/>
    </row>
    <row r="206" spans="2:2" x14ac:dyDescent="0.25">
      <c r="B206" s="88"/>
    </row>
    <row r="207" spans="2:2" x14ac:dyDescent="0.25">
      <c r="B207" s="88"/>
    </row>
    <row r="208" spans="2:2" x14ac:dyDescent="0.25">
      <c r="B208" s="88"/>
    </row>
    <row r="209" spans="2:2" x14ac:dyDescent="0.25">
      <c r="B209" s="88"/>
    </row>
    <row r="212" spans="2:2" x14ac:dyDescent="0.25">
      <c r="B212" s="449"/>
    </row>
    <row r="213" spans="2:2" x14ac:dyDescent="0.25">
      <c r="B213" s="450"/>
    </row>
    <row r="214" spans="2:2" x14ac:dyDescent="0.25">
      <c r="B214" s="88"/>
    </row>
    <row r="215" spans="2:2" x14ac:dyDescent="0.25">
      <c r="B215" s="449"/>
    </row>
    <row r="216" spans="2:2" x14ac:dyDescent="0.25">
      <c r="B216" s="450"/>
    </row>
    <row r="217" spans="2:2" x14ac:dyDescent="0.25">
      <c r="B217" s="88"/>
    </row>
    <row r="218" spans="2:2" x14ac:dyDescent="0.25">
      <c r="B218" s="88"/>
    </row>
    <row r="219" spans="2:2" x14ac:dyDescent="0.25">
      <c r="B219" s="88"/>
    </row>
    <row r="220" spans="2:2" x14ac:dyDescent="0.25">
      <c r="B220" s="88"/>
    </row>
    <row r="221" spans="2:2" x14ac:dyDescent="0.25">
      <c r="B221" s="88"/>
    </row>
    <row r="223" spans="2:2" x14ac:dyDescent="0.25">
      <c r="B223" s="450"/>
    </row>
    <row r="224" spans="2:2" x14ac:dyDescent="0.25">
      <c r="B224" s="88"/>
    </row>
    <row r="226" spans="2:2" x14ac:dyDescent="0.25">
      <c r="B226" s="91"/>
    </row>
    <row r="227" spans="2:2" x14ac:dyDescent="0.25">
      <c r="B227" s="91"/>
    </row>
    <row r="228" spans="2:2" x14ac:dyDescent="0.25">
      <c r="B228" s="91"/>
    </row>
    <row r="229" spans="2:2" x14ac:dyDescent="0.25">
      <c r="B229" s="91"/>
    </row>
    <row r="230" spans="2:2" x14ac:dyDescent="0.25">
      <c r="B230" s="91"/>
    </row>
    <row r="231" spans="2:2" x14ac:dyDescent="0.25">
      <c r="B231" s="91"/>
    </row>
  </sheetData>
  <mergeCells count="3">
    <mergeCell ref="L142:M142"/>
    <mergeCell ref="E65:J65"/>
    <mergeCell ref="O65:Q65"/>
  </mergeCells>
  <phoneticPr fontId="0" type="noConversion"/>
  <printOptions gridLines="1"/>
  <pageMargins left="0.75" right="0.75" top="0.3" bottom="0.34" header="0.18" footer="0.2"/>
  <pageSetup paperSize="8" scale="27" orientation="portrait" r:id="rId1"/>
  <headerFooter alignWithMargins="0">
    <oddFooter>&amp;L&amp;D&amp;R&amp;A \ 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zoomScale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6" sqref="D26"/>
    </sheetView>
  </sheetViews>
  <sheetFormatPr defaultColWidth="9.109375" defaultRowHeight="13.2" x14ac:dyDescent="0.25"/>
  <cols>
    <col min="1" max="1" width="33.5546875" style="57" customWidth="1"/>
    <col min="2" max="3" width="9.109375" style="57"/>
    <col min="4" max="7" width="15" style="57" customWidth="1"/>
    <col min="8" max="8" width="16.5546875" style="57" customWidth="1"/>
    <col min="9" max="10" width="15" style="57" customWidth="1"/>
    <col min="11" max="11" width="9.109375" style="57"/>
    <col min="12" max="12" width="9.109375" style="57" customWidth="1"/>
    <col min="13" max="16384" width="9.109375" style="57"/>
  </cols>
  <sheetData>
    <row r="1" spans="1:10" x14ac:dyDescent="0.25">
      <c r="A1" s="555" t="str">
        <f>'Data 2006-08'!$A$1</f>
        <v>SP AusNet</v>
      </c>
      <c r="E1" s="495" t="s">
        <v>395</v>
      </c>
      <c r="F1" s="496" t="str">
        <f>IF(SUM('AMI RAB 2009-15'!C2,'AMI Tax Depn 2009-15'!C2,'AMI Building Blocks 2009-15'!D1,'Data 2006-08'!D1)&lt;0.001,"Ok","Error")</f>
        <v>Ok</v>
      </c>
    </row>
    <row r="3" spans="1:10" x14ac:dyDescent="0.25">
      <c r="A3" s="409" t="s">
        <v>297</v>
      </c>
      <c r="D3" s="391">
        <v>2009</v>
      </c>
      <c r="E3" s="391">
        <v>2010</v>
      </c>
      <c r="F3" s="391">
        <v>2011</v>
      </c>
      <c r="G3" s="391">
        <v>2012</v>
      </c>
      <c r="H3" s="391">
        <v>2013</v>
      </c>
      <c r="I3" s="391">
        <v>2014</v>
      </c>
      <c r="J3" s="391">
        <v>2015</v>
      </c>
    </row>
    <row r="4" spans="1:10" x14ac:dyDescent="0.25">
      <c r="A4" s="57" t="s">
        <v>336</v>
      </c>
      <c r="D4" s="347">
        <f>'AMI Building Blocks 2009-15'!D34</f>
        <v>40903.678412783018</v>
      </c>
      <c r="E4" s="347">
        <f>'AMI Building Blocks 2009-15'!E34</f>
        <v>66258.23164090488</v>
      </c>
      <c r="F4" s="347">
        <f>'AMI Building Blocks 2009-15'!F34</f>
        <v>86116.671452123643</v>
      </c>
      <c r="G4" s="347">
        <f>'AMI Building Blocks 2009-15'!G34</f>
        <v>102849.11880712882</v>
      </c>
      <c r="H4" s="347">
        <f>'AMI Building Blocks 2009-15'!H34</f>
        <v>114073.02380960068</v>
      </c>
      <c r="I4" s="347">
        <f>'AMI Building Blocks 2009-15'!I34</f>
        <v>115126.80255842823</v>
      </c>
      <c r="J4" s="347">
        <f>'AMI Building Blocks 2009-15'!J34</f>
        <v>122263.00887528296</v>
      </c>
    </row>
    <row r="5" spans="1:10" x14ac:dyDescent="0.25">
      <c r="A5" s="57" t="s">
        <v>344</v>
      </c>
      <c r="D5" s="347">
        <f>'Offset of Costs and Rev 2006-08'!G20</f>
        <v>-6137.4832866242659</v>
      </c>
      <c r="E5" s="532"/>
      <c r="F5" s="532"/>
      <c r="G5" s="532"/>
      <c r="H5" s="532"/>
      <c r="I5" s="532"/>
      <c r="J5" s="532"/>
    </row>
    <row r="6" spans="1:10" x14ac:dyDescent="0.25">
      <c r="A6" s="57" t="s">
        <v>342</v>
      </c>
      <c r="D6" s="389">
        <f t="shared" ref="D6:J6" si="0">SUM(D4:D5)</f>
        <v>34766.195126158753</v>
      </c>
      <c r="E6" s="389">
        <f t="shared" si="0"/>
        <v>66258.23164090488</v>
      </c>
      <c r="F6" s="389">
        <f t="shared" si="0"/>
        <v>86116.671452123643</v>
      </c>
      <c r="G6" s="389">
        <f t="shared" si="0"/>
        <v>102849.11880712882</v>
      </c>
      <c r="H6" s="389">
        <f t="shared" si="0"/>
        <v>114073.02380960068</v>
      </c>
      <c r="I6" s="389">
        <f t="shared" si="0"/>
        <v>115126.80255842823</v>
      </c>
      <c r="J6" s="389">
        <f t="shared" si="0"/>
        <v>122263.00887528296</v>
      </c>
    </row>
    <row r="7" spans="1:10" x14ac:dyDescent="0.25">
      <c r="D7" s="347"/>
      <c r="E7" s="347"/>
      <c r="F7" s="347"/>
      <c r="G7" s="347"/>
      <c r="H7" s="347"/>
      <c r="I7" s="347"/>
      <c r="J7" s="347"/>
    </row>
    <row r="8" spans="1:10" x14ac:dyDescent="0.25">
      <c r="A8" s="57" t="s">
        <v>293</v>
      </c>
      <c r="D8" s="347">
        <f>'Data 2009-15 (Real $2008)'!D60/10^3</f>
        <v>37927.245233500005</v>
      </c>
      <c r="E8" s="347">
        <f>'Data 2009-15 (Real $2008)'!E60/10^3</f>
        <v>65653.893745999987</v>
      </c>
      <c r="F8" s="347">
        <f>'Data 2009-15 (Real $2008)'!F60/10^3</f>
        <v>73478.180732400011</v>
      </c>
      <c r="G8" s="347">
        <f>'Data 2009-15 (Real $2008)'!G60/10^3</f>
        <v>83599.356</v>
      </c>
      <c r="H8" s="347">
        <f>'Data 2009-15 (Real $2008)'!H60/10^3</f>
        <v>101332.753</v>
      </c>
      <c r="I8" s="347">
        <f>S76</f>
        <v>123070.49353282094</v>
      </c>
      <c r="J8" s="347">
        <f>T76</f>
        <v>160048.72172391039</v>
      </c>
    </row>
    <row r="10" spans="1:10" x14ac:dyDescent="0.25">
      <c r="A10" s="57" t="str">
        <f>'AMI Building Blocks 2009-15'!A19</f>
        <v>Vanilla' after tax WACC (nominal)</v>
      </c>
      <c r="D10" s="523">
        <f>'AMI Building Blocks 2009-15'!D24</f>
        <v>0.1209003175700798</v>
      </c>
      <c r="E10" s="523">
        <f>'AMI Building Blocks 2009-15'!E24</f>
        <v>8.1183152731514552E-2</v>
      </c>
      <c r="F10" s="523">
        <f>'AMI Building Blocks 2009-15'!F24</f>
        <v>9.7480796473851994E-2</v>
      </c>
      <c r="G10" s="523">
        <f>'AMI Building Blocks 2009-15'!G24</f>
        <v>0.10529909222912481</v>
      </c>
      <c r="H10" s="523">
        <f>'AMI Building Blocks 2009-15'!H24</f>
        <v>8.9113582078353293E-2</v>
      </c>
      <c r="I10" s="523">
        <f>'AMI Building Blocks 2009-15'!I24</f>
        <v>7.2935813500832225E-2</v>
      </c>
      <c r="J10" s="523">
        <f>'AMI Building Blocks 2009-15'!J24</f>
        <v>7.4475381162216747E-2</v>
      </c>
    </row>
    <row r="11" spans="1:10" x14ac:dyDescent="0.25">
      <c r="A11" s="57" t="s">
        <v>339</v>
      </c>
      <c r="C11" s="524"/>
      <c r="D11" s="524">
        <f>1/(1+D10)*(1+D10)^(0.5)</f>
        <v>0.94453162556261583</v>
      </c>
      <c r="E11" s="524">
        <f t="shared" ref="E11:J11" si="1">D11/(1+E10)</f>
        <v>0.87360927071083139</v>
      </c>
      <c r="F11" s="524">
        <f t="shared" si="1"/>
        <v>0.79601326375613313</v>
      </c>
      <c r="G11" s="524">
        <f t="shared" si="1"/>
        <v>0.72017906225794881</v>
      </c>
      <c r="H11" s="524">
        <f t="shared" si="1"/>
        <v>0.66125248468909237</v>
      </c>
      <c r="I11" s="524">
        <f t="shared" si="1"/>
        <v>0.61630199716376555</v>
      </c>
      <c r="J11" s="524">
        <f t="shared" si="1"/>
        <v>0.57358410250138681</v>
      </c>
    </row>
    <row r="13" spans="1:10" x14ac:dyDescent="0.25">
      <c r="A13" s="57" t="s">
        <v>340</v>
      </c>
      <c r="D13" s="347">
        <f t="shared" ref="D13:J13" si="2">D6*D$11</f>
        <v>32837.770797137819</v>
      </c>
      <c r="E13" s="347">
        <f t="shared" si="2"/>
        <v>57883.805422400248</v>
      </c>
      <c r="F13" s="347">
        <f t="shared" si="2"/>
        <v>68550.012706419555</v>
      </c>
      <c r="G13" s="347">
        <f t="shared" si="2"/>
        <v>74069.781936574407</v>
      </c>
      <c r="H13" s="347">
        <f t="shared" si="2"/>
        <v>75431.070430096443</v>
      </c>
      <c r="I13" s="347">
        <f t="shared" si="2"/>
        <v>70952.87834383783</v>
      </c>
      <c r="J13" s="347">
        <f t="shared" si="2"/>
        <v>70128.118214848262</v>
      </c>
    </row>
    <row r="15" spans="1:10" x14ac:dyDescent="0.25">
      <c r="A15" s="57" t="s">
        <v>341</v>
      </c>
      <c r="D15" s="347">
        <f t="shared" ref="D15:J15" si="3">D8*D$11</f>
        <v>35823.482593509732</v>
      </c>
      <c r="E15" s="347">
        <f t="shared" si="3"/>
        <v>57355.850234769459</v>
      </c>
      <c r="F15" s="347">
        <f t="shared" si="3"/>
        <v>58489.606459660747</v>
      </c>
      <c r="G15" s="347">
        <f t="shared" si="3"/>
        <v>60206.505809448427</v>
      </c>
      <c r="H15" s="347">
        <f t="shared" si="3"/>
        <v>67006.534701636076</v>
      </c>
      <c r="I15" s="347">
        <f t="shared" si="3"/>
        <v>75848.59095620783</v>
      </c>
      <c r="J15" s="347">
        <f t="shared" si="3"/>
        <v>91801.402406503345</v>
      </c>
    </row>
    <row r="17" spans="1:20" x14ac:dyDescent="0.25">
      <c r="A17" s="268" t="s">
        <v>343</v>
      </c>
      <c r="D17" s="347"/>
      <c r="E17" s="526">
        <f>SUM($D15:E15)-SUM($D13:E13)</f>
        <v>2457.7566087411251</v>
      </c>
      <c r="F17" s="526">
        <f>SUM($D15:F15)-SUM($D13:F13)</f>
        <v>-7602.6496380176977</v>
      </c>
      <c r="G17" s="526">
        <f>SUM($D15:G15)-SUM($D13:G13)</f>
        <v>-21465.925765143678</v>
      </c>
      <c r="H17" s="526">
        <f>SUM($D15:H15)-SUM($D13:H13)</f>
        <v>-29890.46149360406</v>
      </c>
      <c r="I17" s="526">
        <f>SUM($D15:I15)-SUM($D13:I13)</f>
        <v>-24994.748881234089</v>
      </c>
      <c r="J17" s="526">
        <f>SUM($D15:J15)-SUM($D13:J13)</f>
        <v>-3321.4646895790356</v>
      </c>
      <c r="L17" s="897"/>
    </row>
    <row r="19" spans="1:20" x14ac:dyDescent="0.25">
      <c r="A19" s="525" t="s">
        <v>285</v>
      </c>
      <c r="E19" s="527" t="str">
        <f t="shared" ref="E19:J19" si="4">IF(E17&gt;0,"Non Compliant","Compliant")</f>
        <v>Non Compliant</v>
      </c>
      <c r="F19" s="527" t="str">
        <f t="shared" si="4"/>
        <v>Compliant</v>
      </c>
      <c r="G19" s="527" t="str">
        <f t="shared" si="4"/>
        <v>Compliant</v>
      </c>
      <c r="H19" s="527" t="str">
        <f t="shared" si="4"/>
        <v>Compliant</v>
      </c>
      <c r="I19" s="527" t="str">
        <f t="shared" si="4"/>
        <v>Compliant</v>
      </c>
      <c r="J19" s="527" t="str">
        <f t="shared" si="4"/>
        <v>Compliant</v>
      </c>
    </row>
    <row r="21" spans="1:20" x14ac:dyDescent="0.25">
      <c r="A21" s="812"/>
      <c r="E21" s="778"/>
      <c r="F21" s="778"/>
    </row>
    <row r="22" spans="1:20" ht="13.8" thickBot="1" x14ac:dyDescent="0.3">
      <c r="A22" s="535"/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</row>
    <row r="24" spans="1:20" s="360" customFormat="1" x14ac:dyDescent="0.25">
      <c r="A24" s="779"/>
      <c r="B24" s="395"/>
      <c r="C24" s="395"/>
      <c r="D24" s="780"/>
      <c r="E24" s="781"/>
      <c r="G24" s="781"/>
      <c r="J24" s="781"/>
    </row>
    <row r="25" spans="1:20" s="360" customFormat="1" x14ac:dyDescent="0.25">
      <c r="A25" s="88"/>
      <c r="B25" s="395"/>
      <c r="C25" s="395"/>
      <c r="D25" s="782"/>
    </row>
    <row r="26" spans="1:20" s="895" customFormat="1" x14ac:dyDescent="0.25">
      <c r="A26" s="893" t="s">
        <v>394</v>
      </c>
      <c r="B26" s="894"/>
      <c r="C26" s="894"/>
      <c r="G26" s="886" t="s">
        <v>391</v>
      </c>
      <c r="H26" s="896" t="s">
        <v>285</v>
      </c>
      <c r="L26" s="360"/>
      <c r="M26" s="978" t="s">
        <v>23</v>
      </c>
      <c r="N26" s="961"/>
      <c r="S26" s="978" t="s">
        <v>334</v>
      </c>
      <c r="T26" s="961"/>
    </row>
    <row r="27" spans="1:20" s="360" customFormat="1" x14ac:dyDescent="0.25">
      <c r="A27" s="409" t="s">
        <v>297</v>
      </c>
      <c r="B27" s="365"/>
      <c r="C27" s="365"/>
      <c r="D27" s="780"/>
      <c r="E27" s="780"/>
      <c r="F27" s="780"/>
      <c r="G27" s="783">
        <v>2014</v>
      </c>
      <c r="H27" s="783">
        <v>2015</v>
      </c>
      <c r="J27" s="781"/>
      <c r="K27" s="781"/>
      <c r="M27" s="520">
        <f>G27</f>
        <v>2014</v>
      </c>
      <c r="N27" s="520">
        <f>H27</f>
        <v>2015</v>
      </c>
      <c r="S27" s="520">
        <f>M27</f>
        <v>2014</v>
      </c>
      <c r="T27" s="520">
        <f>N27</f>
        <v>2015</v>
      </c>
    </row>
    <row r="28" spans="1:20" s="360" customFormat="1" x14ac:dyDescent="0.25">
      <c r="A28" s="500"/>
      <c r="B28" s="365"/>
      <c r="C28" s="365"/>
      <c r="D28" s="780"/>
      <c r="E28" s="780"/>
      <c r="F28" s="780"/>
      <c r="J28" s="781"/>
      <c r="K28" s="781"/>
    </row>
    <row r="29" spans="1:20" s="360" customFormat="1" x14ac:dyDescent="0.25">
      <c r="A29" s="516" t="str">
        <f>'Data 2009-15 (Real $2008)'!A71</f>
        <v>Metering data services</v>
      </c>
      <c r="B29" s="365"/>
      <c r="C29" s="365"/>
      <c r="D29" s="780"/>
      <c r="E29" s="780"/>
      <c r="F29" s="780"/>
      <c r="G29" s="516" t="str">
        <f>'Data 2009-15 (Real $2008)'!E71</f>
        <v>Charge per meter ($ p.a.)</v>
      </c>
      <c r="J29" s="781"/>
      <c r="K29" s="781"/>
    </row>
    <row r="30" spans="1:20" s="360" customFormat="1" x14ac:dyDescent="0.25">
      <c r="A30" s="360" t="str">
        <f>'Data 2009-15 (Real $2008)'!A72</f>
        <v>metering data services - monthly read meter</v>
      </c>
      <c r="B30" s="365"/>
      <c r="C30" s="365"/>
      <c r="D30" s="780"/>
      <c r="E30" s="780"/>
      <c r="F30" s="780"/>
      <c r="G30" s="518">
        <f>'Data 2009-15 (Real $2008)'!I72</f>
        <v>0</v>
      </c>
      <c r="H30" s="518">
        <f>'Data 2009-15 (Real $2008)'!J72</f>
        <v>0</v>
      </c>
      <c r="J30" s="781"/>
      <c r="K30" s="781"/>
      <c r="M30" s="517">
        <f>'Data 2009-15 (Real $2008)'!P72</f>
        <v>0</v>
      </c>
      <c r="N30" s="517">
        <f>'Data 2009-15 (Real $2008)'!Q72</f>
        <v>0</v>
      </c>
      <c r="S30" s="82">
        <f t="shared" ref="S30:T36" si="5">G30*M30/10^3</f>
        <v>0</v>
      </c>
      <c r="T30" s="82">
        <f t="shared" si="5"/>
        <v>0</v>
      </c>
    </row>
    <row r="31" spans="1:20" s="360" customFormat="1" x14ac:dyDescent="0.25">
      <c r="A31" s="360" t="str">
        <f>'Data 2009-15 (Real $2008)'!A73</f>
        <v>metering data services - quarterly read meter</v>
      </c>
      <c r="B31" s="365"/>
      <c r="C31" s="365"/>
      <c r="D31" s="780"/>
      <c r="E31" s="780"/>
      <c r="F31" s="780"/>
      <c r="G31" s="518">
        <f>'Data 2009-15 (Real $2008)'!I73</f>
        <v>0</v>
      </c>
      <c r="H31" s="518">
        <f>'Data 2009-15 (Real $2008)'!J73</f>
        <v>0</v>
      </c>
      <c r="J31" s="781"/>
      <c r="K31" s="781"/>
      <c r="M31" s="517">
        <f>'Data 2009-15 (Real $2008)'!P73</f>
        <v>0</v>
      </c>
      <c r="N31" s="517">
        <f>'Data 2009-15 (Real $2008)'!Q73</f>
        <v>0</v>
      </c>
      <c r="S31" s="82">
        <f t="shared" si="5"/>
        <v>0</v>
      </c>
      <c r="T31" s="82">
        <f t="shared" si="5"/>
        <v>0</v>
      </c>
    </row>
    <row r="32" spans="1:20" s="360" customFormat="1" x14ac:dyDescent="0.25">
      <c r="A32" s="360" t="str">
        <f>'Data 2009-15 (Real $2008)'!A74</f>
        <v>Other Category 1 : Describe………………..</v>
      </c>
      <c r="B32" s="365"/>
      <c r="C32" s="365"/>
      <c r="D32" s="780"/>
      <c r="E32" s="780"/>
      <c r="F32" s="780"/>
      <c r="G32" s="518">
        <f>'Data 2009-15 (Real $2008)'!I74</f>
        <v>0</v>
      </c>
      <c r="H32" s="518">
        <f>'Data 2009-15 (Real $2008)'!J74</f>
        <v>0</v>
      </c>
      <c r="J32" s="781"/>
      <c r="K32" s="781"/>
      <c r="M32" s="517">
        <f>'Data 2009-15 (Real $2008)'!P74</f>
        <v>0</v>
      </c>
      <c r="N32" s="517">
        <f>'Data 2009-15 (Real $2008)'!Q74</f>
        <v>0</v>
      </c>
      <c r="S32" s="82">
        <f t="shared" si="5"/>
        <v>0</v>
      </c>
      <c r="T32" s="82">
        <f t="shared" si="5"/>
        <v>0</v>
      </c>
    </row>
    <row r="33" spans="1:20" s="360" customFormat="1" x14ac:dyDescent="0.25">
      <c r="A33" s="360" t="str">
        <f>'Data 2009-15 (Real $2008)'!A75</f>
        <v>Other Category 2 : Describe………………..</v>
      </c>
      <c r="B33" s="365"/>
      <c r="C33" s="365"/>
      <c r="D33" s="780"/>
      <c r="E33" s="780"/>
      <c r="F33" s="780"/>
      <c r="G33" s="518">
        <f>'Data 2009-15 (Real $2008)'!I75</f>
        <v>0</v>
      </c>
      <c r="H33" s="518">
        <f>'Data 2009-15 (Real $2008)'!J75</f>
        <v>0</v>
      </c>
      <c r="J33" s="781"/>
      <c r="K33" s="781"/>
      <c r="M33" s="517">
        <f>'Data 2009-15 (Real $2008)'!P75</f>
        <v>0</v>
      </c>
      <c r="N33" s="517">
        <f>'Data 2009-15 (Real $2008)'!Q75</f>
        <v>0</v>
      </c>
      <c r="S33" s="82">
        <f t="shared" si="5"/>
        <v>0</v>
      </c>
      <c r="T33" s="82">
        <f t="shared" si="5"/>
        <v>0</v>
      </c>
    </row>
    <row r="34" spans="1:20" s="360" customFormat="1" x14ac:dyDescent="0.25">
      <c r="A34" s="360" t="str">
        <f>'Data 2009-15 (Real $2008)'!A76</f>
        <v>Other Category 3 : Describe………………..</v>
      </c>
      <c r="B34" s="365"/>
      <c r="C34" s="365"/>
      <c r="D34" s="780"/>
      <c r="E34" s="780"/>
      <c r="F34" s="780"/>
      <c r="G34" s="518">
        <f>'Data 2009-15 (Real $2008)'!I76</f>
        <v>0</v>
      </c>
      <c r="H34" s="518">
        <f>'Data 2009-15 (Real $2008)'!J76</f>
        <v>0</v>
      </c>
      <c r="J34" s="781"/>
      <c r="K34" s="781"/>
      <c r="M34" s="517">
        <f>'Data 2009-15 (Real $2008)'!P76</f>
        <v>0</v>
      </c>
      <c r="N34" s="517">
        <f>'Data 2009-15 (Real $2008)'!Q76</f>
        <v>0</v>
      </c>
      <c r="S34" s="82">
        <f t="shared" si="5"/>
        <v>0</v>
      </c>
      <c r="T34" s="82">
        <f t="shared" si="5"/>
        <v>0</v>
      </c>
    </row>
    <row r="35" spans="1:20" s="360" customFormat="1" x14ac:dyDescent="0.25">
      <c r="A35" s="360" t="str">
        <f>'Data 2009-15 (Real $2008)'!A77</f>
        <v>Other Category 4 : Describe………………..</v>
      </c>
      <c r="B35" s="365"/>
      <c r="C35" s="365"/>
      <c r="D35" s="780"/>
      <c r="E35" s="780"/>
      <c r="F35" s="780"/>
      <c r="G35" s="518">
        <f>'Data 2009-15 (Real $2008)'!I77</f>
        <v>0</v>
      </c>
      <c r="H35" s="518">
        <f>'Data 2009-15 (Real $2008)'!J77</f>
        <v>0</v>
      </c>
      <c r="J35" s="781"/>
      <c r="K35" s="781"/>
      <c r="M35" s="517">
        <f>'Data 2009-15 (Real $2008)'!P77</f>
        <v>0</v>
      </c>
      <c r="N35" s="517">
        <f>'Data 2009-15 (Real $2008)'!Q77</f>
        <v>0</v>
      </c>
      <c r="S35" s="82">
        <f t="shared" si="5"/>
        <v>0</v>
      </c>
      <c r="T35" s="82">
        <f t="shared" si="5"/>
        <v>0</v>
      </c>
    </row>
    <row r="36" spans="1:20" s="360" customFormat="1" x14ac:dyDescent="0.25">
      <c r="A36" s="360" t="str">
        <f>'Data 2009-15 (Real $2008)'!A78</f>
        <v>Other Category 5 : Describe………………..</v>
      </c>
      <c r="B36" s="365"/>
      <c r="C36" s="365"/>
      <c r="D36" s="780"/>
      <c r="E36" s="780"/>
      <c r="F36" s="780"/>
      <c r="G36" s="518">
        <f>'Data 2009-15 (Real $2008)'!I78</f>
        <v>0</v>
      </c>
      <c r="H36" s="518">
        <f>'Data 2009-15 (Real $2008)'!J78</f>
        <v>0</v>
      </c>
      <c r="J36" s="781"/>
      <c r="K36" s="781"/>
      <c r="M36" s="517">
        <f>'Data 2009-15 (Real $2008)'!P78</f>
        <v>0</v>
      </c>
      <c r="N36" s="517">
        <f>'Data 2009-15 (Real $2008)'!Q78</f>
        <v>0</v>
      </c>
      <c r="S36" s="82">
        <f t="shared" si="5"/>
        <v>0</v>
      </c>
      <c r="T36" s="82">
        <f t="shared" si="5"/>
        <v>0</v>
      </c>
    </row>
    <row r="37" spans="1:20" s="360" customFormat="1" x14ac:dyDescent="0.25">
      <c r="B37" s="365"/>
      <c r="C37" s="365"/>
      <c r="D37" s="780"/>
      <c r="E37" s="780"/>
      <c r="F37" s="780"/>
      <c r="J37" s="781"/>
      <c r="K37" s="781"/>
    </row>
    <row r="38" spans="1:20" s="360" customFormat="1" x14ac:dyDescent="0.25">
      <c r="B38" s="365"/>
      <c r="C38" s="365"/>
      <c r="D38" s="780"/>
      <c r="E38" s="780"/>
      <c r="F38" s="780"/>
      <c r="J38" s="781"/>
      <c r="K38" s="781"/>
    </row>
    <row r="39" spans="1:20" s="360" customFormat="1" x14ac:dyDescent="0.25">
      <c r="A39" s="516" t="str">
        <f>'Data 2009-15 (Real $2008)'!A81</f>
        <v>Metering data services</v>
      </c>
      <c r="B39" s="365"/>
      <c r="C39" s="365"/>
      <c r="D39" s="780"/>
      <c r="E39" s="780"/>
      <c r="F39" s="780"/>
      <c r="G39" s="516" t="str">
        <f>'Data 2009-15 (Real $2008)'!E81</f>
        <v>Charge per NMIs ($ p.a.)</v>
      </c>
      <c r="J39" s="781"/>
      <c r="K39" s="781"/>
    </row>
    <row r="40" spans="1:20" s="360" customFormat="1" x14ac:dyDescent="0.25">
      <c r="A40" s="360" t="str">
        <f>'Data 2009-15 (Real $2008)'!A82</f>
        <v>metering data services - monthly read meter</v>
      </c>
      <c r="B40" s="365"/>
      <c r="C40" s="365"/>
      <c r="D40" s="780"/>
      <c r="E40" s="780"/>
      <c r="F40" s="780"/>
      <c r="G40" s="518">
        <f>'Data 2009-15 (Real $2008)'!I82</f>
        <v>0</v>
      </c>
      <c r="H40" s="518">
        <f>'Data 2009-15 (Real $2008)'!J82</f>
        <v>0</v>
      </c>
      <c r="J40" s="781"/>
      <c r="K40" s="781"/>
      <c r="M40" s="517">
        <f>'Data 2009-15 (Real $2008)'!P82</f>
        <v>0</v>
      </c>
      <c r="N40" s="517">
        <f>'Data 2009-15 (Real $2008)'!Q82</f>
        <v>0</v>
      </c>
      <c r="S40" s="82">
        <f t="shared" ref="S40:T46" si="6">G40*M40/10^3</f>
        <v>0</v>
      </c>
      <c r="T40" s="82">
        <f t="shared" si="6"/>
        <v>0</v>
      </c>
    </row>
    <row r="41" spans="1:20" s="360" customFormat="1" x14ac:dyDescent="0.25">
      <c r="A41" s="360" t="str">
        <f>'Data 2009-15 (Real $2008)'!A83</f>
        <v>metering data services - quarterly read meter</v>
      </c>
      <c r="B41" s="365"/>
      <c r="C41" s="365"/>
      <c r="D41" s="780"/>
      <c r="E41" s="780"/>
      <c r="F41" s="780"/>
      <c r="G41" s="518">
        <f>'Data 2009-15 (Real $2008)'!I83</f>
        <v>0</v>
      </c>
      <c r="H41" s="518">
        <f>'Data 2009-15 (Real $2008)'!J83</f>
        <v>0</v>
      </c>
      <c r="J41" s="781"/>
      <c r="K41" s="781"/>
      <c r="M41" s="517">
        <f>'Data 2009-15 (Real $2008)'!P83</f>
        <v>0</v>
      </c>
      <c r="N41" s="517">
        <f>'Data 2009-15 (Real $2008)'!Q83</f>
        <v>0</v>
      </c>
      <c r="S41" s="82">
        <f t="shared" si="6"/>
        <v>0</v>
      </c>
      <c r="T41" s="82">
        <f t="shared" si="6"/>
        <v>0</v>
      </c>
    </row>
    <row r="42" spans="1:20" s="360" customFormat="1" x14ac:dyDescent="0.25">
      <c r="A42" s="360" t="str">
        <f>'Data 2009-15 (Real $2008)'!A84</f>
        <v>Other Category 1 : Describe………………..</v>
      </c>
      <c r="B42" s="365"/>
      <c r="C42" s="365"/>
      <c r="D42" s="780"/>
      <c r="E42" s="780"/>
      <c r="F42" s="780"/>
      <c r="G42" s="518">
        <f>'Data 2009-15 (Real $2008)'!I84</f>
        <v>0</v>
      </c>
      <c r="H42" s="518">
        <f>'Data 2009-15 (Real $2008)'!J84</f>
        <v>0</v>
      </c>
      <c r="J42" s="781"/>
      <c r="K42" s="781"/>
      <c r="M42" s="517">
        <f>'Data 2009-15 (Real $2008)'!P84</f>
        <v>0</v>
      </c>
      <c r="N42" s="517">
        <f>'Data 2009-15 (Real $2008)'!Q84</f>
        <v>0</v>
      </c>
      <c r="S42" s="82">
        <f t="shared" si="6"/>
        <v>0</v>
      </c>
      <c r="T42" s="82">
        <f t="shared" si="6"/>
        <v>0</v>
      </c>
    </row>
    <row r="43" spans="1:20" s="360" customFormat="1" x14ac:dyDescent="0.25">
      <c r="A43" s="360" t="str">
        <f>'Data 2009-15 (Real $2008)'!A85</f>
        <v>Other Category 2 : Describe………………..</v>
      </c>
      <c r="B43" s="365"/>
      <c r="C43" s="365"/>
      <c r="D43" s="780"/>
      <c r="E43" s="780"/>
      <c r="F43" s="780"/>
      <c r="G43" s="518">
        <f>'Data 2009-15 (Real $2008)'!I85</f>
        <v>0</v>
      </c>
      <c r="H43" s="518">
        <f>'Data 2009-15 (Real $2008)'!J85</f>
        <v>0</v>
      </c>
      <c r="J43" s="781"/>
      <c r="K43" s="781"/>
      <c r="M43" s="517">
        <f>'Data 2009-15 (Real $2008)'!P85</f>
        <v>0</v>
      </c>
      <c r="N43" s="517">
        <f>'Data 2009-15 (Real $2008)'!Q85</f>
        <v>0</v>
      </c>
      <c r="S43" s="82">
        <f t="shared" si="6"/>
        <v>0</v>
      </c>
      <c r="T43" s="82">
        <f t="shared" si="6"/>
        <v>0</v>
      </c>
    </row>
    <row r="44" spans="1:20" s="360" customFormat="1" x14ac:dyDescent="0.25">
      <c r="A44" s="360" t="str">
        <f>'Data 2009-15 (Real $2008)'!A86</f>
        <v>Other Category 3 : Describe………………..</v>
      </c>
      <c r="B44" s="365"/>
      <c r="C44" s="365"/>
      <c r="D44" s="780"/>
      <c r="E44" s="780"/>
      <c r="F44" s="780"/>
      <c r="G44" s="518">
        <f>'Data 2009-15 (Real $2008)'!I86</f>
        <v>0</v>
      </c>
      <c r="H44" s="518">
        <f>'Data 2009-15 (Real $2008)'!J86</f>
        <v>0</v>
      </c>
      <c r="J44" s="781"/>
      <c r="K44" s="781"/>
      <c r="M44" s="517">
        <f>'Data 2009-15 (Real $2008)'!P86</f>
        <v>0</v>
      </c>
      <c r="N44" s="517">
        <f>'Data 2009-15 (Real $2008)'!Q86</f>
        <v>0</v>
      </c>
      <c r="S44" s="82">
        <f t="shared" si="6"/>
        <v>0</v>
      </c>
      <c r="T44" s="82">
        <f t="shared" si="6"/>
        <v>0</v>
      </c>
    </row>
    <row r="45" spans="1:20" s="360" customFormat="1" x14ac:dyDescent="0.25">
      <c r="A45" s="360" t="str">
        <f>'Data 2009-15 (Real $2008)'!A87</f>
        <v>Other Category 4 : Describe………………..</v>
      </c>
      <c r="B45" s="365"/>
      <c r="C45" s="365"/>
      <c r="D45" s="780"/>
      <c r="E45" s="780"/>
      <c r="F45" s="780"/>
      <c r="G45" s="518">
        <f>'Data 2009-15 (Real $2008)'!I87</f>
        <v>0</v>
      </c>
      <c r="H45" s="518">
        <f>'Data 2009-15 (Real $2008)'!J87</f>
        <v>0</v>
      </c>
      <c r="J45" s="781"/>
      <c r="K45" s="781"/>
      <c r="M45" s="517">
        <f>'Data 2009-15 (Real $2008)'!P87</f>
        <v>0</v>
      </c>
      <c r="N45" s="517">
        <f>'Data 2009-15 (Real $2008)'!Q87</f>
        <v>0</v>
      </c>
      <c r="S45" s="82">
        <f t="shared" si="6"/>
        <v>0</v>
      </c>
      <c r="T45" s="82">
        <f t="shared" si="6"/>
        <v>0</v>
      </c>
    </row>
    <row r="46" spans="1:20" s="360" customFormat="1" x14ac:dyDescent="0.25">
      <c r="A46" s="360" t="str">
        <f>'Data 2009-15 (Real $2008)'!A88</f>
        <v>Other Category 5 : Describe………………..</v>
      </c>
      <c r="B46" s="365"/>
      <c r="C46" s="365"/>
      <c r="D46" s="780"/>
      <c r="E46" s="780"/>
      <c r="F46" s="780"/>
      <c r="G46" s="518">
        <f>'Data 2009-15 (Real $2008)'!I88</f>
        <v>0</v>
      </c>
      <c r="H46" s="518">
        <f>'Data 2009-15 (Real $2008)'!J88</f>
        <v>0</v>
      </c>
      <c r="J46" s="781"/>
      <c r="K46" s="781"/>
      <c r="M46" s="517">
        <f>'Data 2009-15 (Real $2008)'!P88</f>
        <v>0</v>
      </c>
      <c r="N46" s="517">
        <f>'Data 2009-15 (Real $2008)'!Q88</f>
        <v>0</v>
      </c>
      <c r="S46" s="82">
        <f t="shared" si="6"/>
        <v>0</v>
      </c>
      <c r="T46" s="82">
        <f t="shared" si="6"/>
        <v>0</v>
      </c>
    </row>
    <row r="47" spans="1:20" s="360" customFormat="1" x14ac:dyDescent="0.25">
      <c r="B47" s="365"/>
      <c r="C47" s="365"/>
      <c r="D47" s="780"/>
      <c r="E47" s="780"/>
      <c r="F47" s="780"/>
      <c r="J47" s="781"/>
      <c r="K47" s="781"/>
    </row>
    <row r="48" spans="1:20" s="360" customFormat="1" x14ac:dyDescent="0.25">
      <c r="B48" s="365"/>
      <c r="C48" s="365"/>
      <c r="D48" s="780"/>
      <c r="E48" s="780"/>
      <c r="F48" s="780"/>
      <c r="J48" s="781"/>
      <c r="K48" s="781"/>
    </row>
    <row r="49" spans="1:20" s="360" customFormat="1" x14ac:dyDescent="0.25">
      <c r="A49" s="516" t="str">
        <f>'Data 2009-15 (Real $2008)'!A91</f>
        <v>Meter provision Charge</v>
      </c>
      <c r="B49" s="365"/>
      <c r="C49" s="365"/>
      <c r="D49" s="780"/>
      <c r="E49" s="780"/>
      <c r="F49" s="780"/>
      <c r="G49" s="516" t="str">
        <f>'Data 2009-15 (Real $2008)'!E91</f>
        <v>Charge per meter ($ p.a.)</v>
      </c>
      <c r="J49" s="781"/>
      <c r="K49" s="781"/>
    </row>
    <row r="50" spans="1:20" s="360" customFormat="1" x14ac:dyDescent="0.25">
      <c r="A50" s="360" t="str">
        <f>'Data 2009-15 (Real $2008)'!A92</f>
        <v>single phase single element meter</v>
      </c>
      <c r="B50" s="365"/>
      <c r="C50" s="365"/>
      <c r="D50" s="780"/>
      <c r="E50" s="780"/>
      <c r="F50" s="780"/>
      <c r="G50" s="518">
        <f>'Data 2009-15 (Real $2008)'!I92</f>
        <v>0</v>
      </c>
      <c r="H50" s="518">
        <f>'Data 2009-15 (Real $2008)'!J92</f>
        <v>0</v>
      </c>
      <c r="J50" s="781"/>
      <c r="K50" s="781"/>
      <c r="M50" s="517">
        <f>'Data 2009-15 (Real $2008)'!P92</f>
        <v>0</v>
      </c>
      <c r="N50" s="517">
        <f>'Data 2009-15 (Real $2008)'!Q92</f>
        <v>0</v>
      </c>
      <c r="S50" s="82">
        <f t="shared" ref="S50:T60" si="7">G50*M50/10^3</f>
        <v>0</v>
      </c>
      <c r="T50" s="82">
        <f t="shared" si="7"/>
        <v>0</v>
      </c>
    </row>
    <row r="51" spans="1:20" s="360" customFormat="1" x14ac:dyDescent="0.25">
      <c r="A51" s="360" t="str">
        <f>'Data 2009-15 (Real $2008)'!A93</f>
        <v>single phase single element meter with contactor</v>
      </c>
      <c r="B51" s="365"/>
      <c r="C51" s="365"/>
      <c r="D51" s="780"/>
      <c r="E51" s="780"/>
      <c r="F51" s="780"/>
      <c r="G51" s="518">
        <f>'Data 2009-15 (Real $2008)'!I93</f>
        <v>0</v>
      </c>
      <c r="H51" s="518">
        <f>'Data 2009-15 (Real $2008)'!J93</f>
        <v>0</v>
      </c>
      <c r="J51" s="781"/>
      <c r="K51" s="781"/>
      <c r="M51" s="517">
        <f>'Data 2009-15 (Real $2008)'!P93</f>
        <v>0</v>
      </c>
      <c r="N51" s="517">
        <f>'Data 2009-15 (Real $2008)'!Q93</f>
        <v>0</v>
      </c>
      <c r="S51" s="82">
        <f t="shared" si="7"/>
        <v>0</v>
      </c>
      <c r="T51" s="82">
        <f t="shared" si="7"/>
        <v>0</v>
      </c>
    </row>
    <row r="52" spans="1:20" s="360" customFormat="1" x14ac:dyDescent="0.25">
      <c r="A52" s="360" t="str">
        <f>'Data 2009-15 (Real $2008)'!A94</f>
        <v>single phase two element meter with contactor</v>
      </c>
      <c r="B52" s="365"/>
      <c r="C52" s="365"/>
      <c r="D52" s="780"/>
      <c r="E52" s="780"/>
      <c r="F52" s="780"/>
      <c r="G52" s="518">
        <f>'Data 2009-15 (Real $2008)'!I94</f>
        <v>0</v>
      </c>
      <c r="H52" s="518">
        <f>'Data 2009-15 (Real $2008)'!J94</f>
        <v>0</v>
      </c>
      <c r="J52" s="781"/>
      <c r="K52" s="781"/>
      <c r="M52" s="517">
        <f>'Data 2009-15 (Real $2008)'!P94</f>
        <v>0</v>
      </c>
      <c r="N52" s="517">
        <f>'Data 2009-15 (Real $2008)'!Q94</f>
        <v>0</v>
      </c>
      <c r="S52" s="82">
        <f t="shared" si="7"/>
        <v>0</v>
      </c>
      <c r="T52" s="82">
        <f t="shared" si="7"/>
        <v>0</v>
      </c>
    </row>
    <row r="53" spans="1:20" s="360" customFormat="1" x14ac:dyDescent="0.25">
      <c r="A53" s="360" t="str">
        <f>'Data 2009-15 (Real $2008)'!A95</f>
        <v>three phase direct connected meter</v>
      </c>
      <c r="B53" s="365"/>
      <c r="C53" s="365"/>
      <c r="D53" s="780"/>
      <c r="E53" s="780"/>
      <c r="F53" s="780"/>
      <c r="G53" s="518">
        <f>'Data 2009-15 (Real $2008)'!I95</f>
        <v>0</v>
      </c>
      <c r="H53" s="518">
        <f>'Data 2009-15 (Real $2008)'!J95</f>
        <v>0</v>
      </c>
      <c r="J53" s="781"/>
      <c r="K53" s="781"/>
      <c r="M53" s="517">
        <f>'Data 2009-15 (Real $2008)'!P95</f>
        <v>0</v>
      </c>
      <c r="N53" s="517">
        <f>'Data 2009-15 (Real $2008)'!Q95</f>
        <v>0</v>
      </c>
      <c r="S53" s="82">
        <f t="shared" si="7"/>
        <v>0</v>
      </c>
      <c r="T53" s="82">
        <f t="shared" si="7"/>
        <v>0</v>
      </c>
    </row>
    <row r="54" spans="1:20" s="360" customFormat="1" x14ac:dyDescent="0.25">
      <c r="A54" s="360" t="str">
        <f>'Data 2009-15 (Real $2008)'!A96</f>
        <v>three phase direct connected meter with contactor</v>
      </c>
      <c r="B54" s="365"/>
      <c r="C54" s="365"/>
      <c r="D54" s="780"/>
      <c r="E54" s="780"/>
      <c r="F54" s="780"/>
      <c r="G54" s="518">
        <f>'Data 2009-15 (Real $2008)'!I96</f>
        <v>0</v>
      </c>
      <c r="H54" s="518">
        <f>'Data 2009-15 (Real $2008)'!J96</f>
        <v>0</v>
      </c>
      <c r="J54" s="781"/>
      <c r="K54" s="781"/>
      <c r="M54" s="517">
        <f>'Data 2009-15 (Real $2008)'!P96</f>
        <v>0</v>
      </c>
      <c r="N54" s="517">
        <f>'Data 2009-15 (Real $2008)'!Q96</f>
        <v>0</v>
      </c>
      <c r="S54" s="82">
        <f t="shared" si="7"/>
        <v>0</v>
      </c>
      <c r="T54" s="82">
        <f t="shared" si="7"/>
        <v>0</v>
      </c>
    </row>
    <row r="55" spans="1:20" s="360" customFormat="1" x14ac:dyDescent="0.25">
      <c r="A55" s="360" t="str">
        <f>'Data 2009-15 (Real $2008)'!A97</f>
        <v>three phase Current transformer connected meter</v>
      </c>
      <c r="B55" s="365"/>
      <c r="C55" s="365"/>
      <c r="D55" s="780"/>
      <c r="E55" s="780"/>
      <c r="F55" s="780"/>
      <c r="G55" s="518">
        <f>'Data 2009-15 (Real $2008)'!I97</f>
        <v>0</v>
      </c>
      <c r="H55" s="518">
        <f>'Data 2009-15 (Real $2008)'!J97</f>
        <v>0</v>
      </c>
      <c r="J55" s="781"/>
      <c r="K55" s="781"/>
      <c r="M55" s="517">
        <f>'Data 2009-15 (Real $2008)'!P97</f>
        <v>0</v>
      </c>
      <c r="N55" s="517">
        <f>'Data 2009-15 (Real $2008)'!Q97</f>
        <v>0</v>
      </c>
      <c r="S55" s="82">
        <f t="shared" si="7"/>
        <v>0</v>
      </c>
      <c r="T55" s="82">
        <f t="shared" si="7"/>
        <v>0</v>
      </c>
    </row>
    <row r="56" spans="1:20" s="360" customFormat="1" x14ac:dyDescent="0.25">
      <c r="A56" s="360" t="str">
        <f>'Data 2009-15 (Real $2008)'!A98</f>
        <v>Single phase single element 1 contactor (1load control)</v>
      </c>
      <c r="B56" s="365"/>
      <c r="C56" s="365"/>
      <c r="D56" s="780"/>
      <c r="E56" s="780"/>
      <c r="F56" s="780"/>
      <c r="G56" s="518">
        <f>'Data 2009-15 (Real $2008)'!I98</f>
        <v>160.21</v>
      </c>
      <c r="H56" s="518">
        <f>'Data 2009-15 (Real $2008)'!J98</f>
        <v>205.54</v>
      </c>
      <c r="J56" s="781"/>
      <c r="K56" s="781"/>
      <c r="M56" s="517">
        <f>'Data 2009-15 (Real $2008)'!P98</f>
        <v>398557.46675785119</v>
      </c>
      <c r="N56" s="517">
        <f>'Data 2009-15 (Real $2008)'!Q98</f>
        <v>406120.02995804162</v>
      </c>
      <c r="S56" s="82">
        <f t="shared" si="7"/>
        <v>63852.891749275339</v>
      </c>
      <c r="T56" s="82">
        <f t="shared" si="7"/>
        <v>83473.910957575878</v>
      </c>
    </row>
    <row r="57" spans="1:20" s="360" customFormat="1" x14ac:dyDescent="0.25">
      <c r="A57" s="360" t="str">
        <f>'Data 2009-15 (Real $2008)'!A99</f>
        <v>Single phase two element 2 contactors (2 load controls)</v>
      </c>
      <c r="B57" s="365"/>
      <c r="C57" s="365"/>
      <c r="D57" s="780"/>
      <c r="E57" s="780"/>
      <c r="F57" s="780"/>
      <c r="G57" s="518">
        <f>'Data 2009-15 (Real $2008)'!I99</f>
        <v>184.1</v>
      </c>
      <c r="H57" s="518">
        <f>'Data 2009-15 (Real $2008)'!J99</f>
        <v>236.19</v>
      </c>
      <c r="J57" s="781"/>
      <c r="K57" s="781"/>
      <c r="M57" s="517">
        <f>'Data 2009-15 (Real $2008)'!P99</f>
        <v>156548.59239537409</v>
      </c>
      <c r="N57" s="517">
        <f>'Data 2009-15 (Real $2008)'!Q99</f>
        <v>157702.89891689076</v>
      </c>
      <c r="S57" s="82">
        <f t="shared" si="7"/>
        <v>28820.595859988371</v>
      </c>
      <c r="T57" s="82">
        <f t="shared" si="7"/>
        <v>37247.847695180433</v>
      </c>
    </row>
    <row r="58" spans="1:20" s="360" customFormat="1" x14ac:dyDescent="0.25">
      <c r="A58" s="360" t="str">
        <f>'Data 2009-15 (Real $2008)'!A100</f>
        <v>Multiphase 1 contactor (1 load control)</v>
      </c>
      <c r="B58" s="365"/>
      <c r="C58" s="365"/>
      <c r="D58" s="780"/>
      <c r="E58" s="780"/>
      <c r="F58" s="780"/>
      <c r="G58" s="518">
        <f>'Data 2009-15 (Real $2008)'!I100</f>
        <v>222.42</v>
      </c>
      <c r="H58" s="518">
        <f>'Data 2009-15 (Real $2008)'!J100</f>
        <v>285.36</v>
      </c>
      <c r="J58" s="781"/>
      <c r="K58" s="781"/>
      <c r="M58" s="517">
        <f>'Data 2009-15 (Real $2008)'!P100</f>
        <v>84284.130234145021</v>
      </c>
      <c r="N58" s="517">
        <f>'Data 2009-15 (Real $2008)'!Q100</f>
        <v>85357.055867229894</v>
      </c>
      <c r="S58" s="82">
        <f t="shared" si="7"/>
        <v>18746.476246678536</v>
      </c>
      <c r="T58" s="82">
        <f t="shared" si="7"/>
        <v>24357.489462272722</v>
      </c>
    </row>
    <row r="59" spans="1:20" s="360" customFormat="1" x14ac:dyDescent="0.25">
      <c r="A59" s="360" t="str">
        <f>'Data 2009-15 (Real $2008)'!A101</f>
        <v>Multiphase 2 contactors (2 load controls)</v>
      </c>
      <c r="B59" s="365"/>
      <c r="C59" s="365"/>
      <c r="D59" s="780"/>
      <c r="E59" s="780"/>
      <c r="F59" s="780"/>
      <c r="G59" s="518">
        <f>'Data 2009-15 (Real $2008)'!I101</f>
        <v>246.73</v>
      </c>
      <c r="H59" s="518">
        <f>'Data 2009-15 (Real $2008)'!J101</f>
        <v>316.54000000000002</v>
      </c>
      <c r="J59" s="781"/>
      <c r="K59" s="781"/>
      <c r="M59" s="517">
        <f>'Data 2009-15 (Real $2008)'!P101</f>
        <v>42292.871638879471</v>
      </c>
      <c r="N59" s="517">
        <f>'Data 2009-15 (Real $2008)'!Q101</f>
        <v>42316.309334747828</v>
      </c>
      <c r="S59" s="82">
        <f t="shared" si="7"/>
        <v>10434.920219460731</v>
      </c>
      <c r="T59" s="82">
        <f t="shared" si="7"/>
        <v>13394.804556821078</v>
      </c>
    </row>
    <row r="60" spans="1:20" s="360" customFormat="1" x14ac:dyDescent="0.25">
      <c r="A60" s="360" t="str">
        <f>'Data 2009-15 (Real $2008)'!A102</f>
        <v>Multiphase CT connected</v>
      </c>
      <c r="B60" s="365"/>
      <c r="C60" s="365"/>
      <c r="D60" s="780"/>
      <c r="E60" s="780"/>
      <c r="F60" s="780"/>
      <c r="G60" s="518">
        <f>'Data 2009-15 (Real $2008)'!I102</f>
        <v>317.7</v>
      </c>
      <c r="H60" s="518">
        <f>'Data 2009-15 (Real $2008)'!J102</f>
        <v>407.45000000000005</v>
      </c>
      <c r="J60" s="781"/>
      <c r="K60" s="781"/>
      <c r="M60" s="517">
        <f>'Data 2009-15 (Real $2008)'!P102</f>
        <v>3826.2809487502545</v>
      </c>
      <c r="N60" s="517">
        <f>'Data 2009-15 (Real $2008)'!Q102</f>
        <v>3864.6927280900645</v>
      </c>
      <c r="S60" s="82">
        <f t="shared" si="7"/>
        <v>1215.6094574179558</v>
      </c>
      <c r="T60" s="82">
        <f t="shared" si="7"/>
        <v>1574.669052060297</v>
      </c>
    </row>
    <row r="61" spans="1:20" s="360" customFormat="1" x14ac:dyDescent="0.25">
      <c r="B61" s="365"/>
      <c r="C61" s="365"/>
      <c r="D61" s="780"/>
      <c r="E61" s="780"/>
      <c r="F61" s="780"/>
      <c r="J61" s="781"/>
      <c r="K61" s="781"/>
    </row>
    <row r="62" spans="1:20" s="360" customFormat="1" x14ac:dyDescent="0.25">
      <c r="B62" s="365"/>
      <c r="C62" s="365"/>
      <c r="D62" s="780"/>
      <c r="E62" s="780"/>
      <c r="F62" s="780"/>
      <c r="J62" s="781"/>
      <c r="K62" s="781"/>
    </row>
    <row r="63" spans="1:20" s="360" customFormat="1" x14ac:dyDescent="0.25">
      <c r="A63" s="516" t="str">
        <f>'Data 2009-15 (Real $2008)'!A105</f>
        <v>Meter provision Charge</v>
      </c>
      <c r="B63" s="365"/>
      <c r="C63" s="365"/>
      <c r="D63" s="780"/>
      <c r="E63" s="780"/>
      <c r="F63" s="780"/>
      <c r="G63" s="516" t="str">
        <f>'Data 2009-15 (Real $2008)'!E105</f>
        <v>Charge per NMIs ($ p.a.)</v>
      </c>
      <c r="J63" s="781"/>
      <c r="K63" s="781"/>
    </row>
    <row r="64" spans="1:20" s="360" customFormat="1" x14ac:dyDescent="0.25">
      <c r="A64" s="360" t="str">
        <f>'Data 2009-15 (Real $2008)'!A106</f>
        <v>single phase single element meter</v>
      </c>
      <c r="B64" s="365"/>
      <c r="C64" s="365"/>
      <c r="D64" s="780"/>
      <c r="E64" s="780"/>
      <c r="F64" s="780"/>
      <c r="G64" s="518">
        <f>'Data 2009-15 (Real $2008)'!I106</f>
        <v>0</v>
      </c>
      <c r="H64" s="518">
        <f>'Data 2009-15 (Real $2008)'!J106</f>
        <v>0</v>
      </c>
      <c r="J64" s="781"/>
      <c r="K64" s="781"/>
      <c r="M64" s="517">
        <f>'Data 2009-15 (Real $2008)'!P106</f>
        <v>0</v>
      </c>
      <c r="N64" s="517">
        <f>'Data 2009-15 (Real $2008)'!Q106</f>
        <v>0</v>
      </c>
      <c r="S64" s="82">
        <f t="shared" ref="S64:T74" si="8">G64*M64/10^3</f>
        <v>0</v>
      </c>
      <c r="T64" s="82">
        <f t="shared" si="8"/>
        <v>0</v>
      </c>
    </row>
    <row r="65" spans="1:20" s="360" customFormat="1" x14ac:dyDescent="0.25">
      <c r="A65" s="360" t="str">
        <f>'Data 2009-15 (Real $2008)'!A107</f>
        <v>single phase single element meter with contactor</v>
      </c>
      <c r="B65" s="365"/>
      <c r="C65" s="365"/>
      <c r="D65" s="780"/>
      <c r="E65" s="780"/>
      <c r="F65" s="780"/>
      <c r="G65" s="518">
        <f>'Data 2009-15 (Real $2008)'!I107</f>
        <v>0</v>
      </c>
      <c r="H65" s="518">
        <f>'Data 2009-15 (Real $2008)'!J107</f>
        <v>0</v>
      </c>
      <c r="J65" s="781"/>
      <c r="K65" s="781"/>
      <c r="M65" s="517">
        <f>'Data 2009-15 (Real $2008)'!P107</f>
        <v>0</v>
      </c>
      <c r="N65" s="517">
        <f>'Data 2009-15 (Real $2008)'!Q107</f>
        <v>0</v>
      </c>
      <c r="S65" s="82">
        <f t="shared" si="8"/>
        <v>0</v>
      </c>
      <c r="T65" s="82">
        <f t="shared" si="8"/>
        <v>0</v>
      </c>
    </row>
    <row r="66" spans="1:20" s="360" customFormat="1" x14ac:dyDescent="0.25">
      <c r="A66" s="360" t="str">
        <f>'Data 2009-15 (Real $2008)'!A108</f>
        <v>single phase two element meter with contactor</v>
      </c>
      <c r="B66" s="365"/>
      <c r="C66" s="365"/>
      <c r="D66" s="780"/>
      <c r="E66" s="780"/>
      <c r="F66" s="780"/>
      <c r="G66" s="518">
        <f>'Data 2009-15 (Real $2008)'!I108</f>
        <v>0</v>
      </c>
      <c r="H66" s="518">
        <f>'Data 2009-15 (Real $2008)'!J108</f>
        <v>0</v>
      </c>
      <c r="J66" s="781"/>
      <c r="K66" s="781"/>
      <c r="M66" s="517">
        <f>'Data 2009-15 (Real $2008)'!P108</f>
        <v>0</v>
      </c>
      <c r="N66" s="517">
        <f>'Data 2009-15 (Real $2008)'!Q108</f>
        <v>0</v>
      </c>
      <c r="S66" s="82">
        <f t="shared" si="8"/>
        <v>0</v>
      </c>
      <c r="T66" s="82">
        <f t="shared" si="8"/>
        <v>0</v>
      </c>
    </row>
    <row r="67" spans="1:20" s="360" customFormat="1" x14ac:dyDescent="0.25">
      <c r="A67" s="360" t="str">
        <f>'Data 2009-15 (Real $2008)'!A109</f>
        <v>three phase direct connected meter</v>
      </c>
      <c r="B67" s="365"/>
      <c r="C67" s="365"/>
      <c r="D67" s="780"/>
      <c r="E67" s="780"/>
      <c r="F67" s="780"/>
      <c r="G67" s="518">
        <f>'Data 2009-15 (Real $2008)'!I109</f>
        <v>0</v>
      </c>
      <c r="H67" s="518">
        <f>'Data 2009-15 (Real $2008)'!J109</f>
        <v>0</v>
      </c>
      <c r="J67" s="781"/>
      <c r="K67" s="781"/>
      <c r="M67" s="517">
        <f>'Data 2009-15 (Real $2008)'!P109</f>
        <v>0</v>
      </c>
      <c r="N67" s="517">
        <f>'Data 2009-15 (Real $2008)'!Q109</f>
        <v>0</v>
      </c>
      <c r="S67" s="82">
        <f t="shared" si="8"/>
        <v>0</v>
      </c>
      <c r="T67" s="82">
        <f t="shared" si="8"/>
        <v>0</v>
      </c>
    </row>
    <row r="68" spans="1:20" s="360" customFormat="1" x14ac:dyDescent="0.25">
      <c r="A68" s="360" t="str">
        <f>'Data 2009-15 (Real $2008)'!A110</f>
        <v>three phase direct connected meter with contactor</v>
      </c>
      <c r="B68" s="365"/>
      <c r="C68" s="365"/>
      <c r="D68" s="780"/>
      <c r="E68" s="780"/>
      <c r="F68" s="780"/>
      <c r="G68" s="518">
        <f>'Data 2009-15 (Real $2008)'!I110</f>
        <v>0</v>
      </c>
      <c r="H68" s="518">
        <f>'Data 2009-15 (Real $2008)'!J110</f>
        <v>0</v>
      </c>
      <c r="J68" s="781"/>
      <c r="K68" s="781"/>
      <c r="M68" s="517">
        <f>'Data 2009-15 (Real $2008)'!P110</f>
        <v>0</v>
      </c>
      <c r="N68" s="517">
        <f>'Data 2009-15 (Real $2008)'!Q110</f>
        <v>0</v>
      </c>
      <c r="S68" s="82">
        <f t="shared" si="8"/>
        <v>0</v>
      </c>
      <c r="T68" s="82">
        <f t="shared" si="8"/>
        <v>0</v>
      </c>
    </row>
    <row r="69" spans="1:20" s="360" customFormat="1" x14ac:dyDescent="0.25">
      <c r="A69" s="360" t="str">
        <f>'Data 2009-15 (Real $2008)'!A111</f>
        <v>three phase Current transformer connected meter</v>
      </c>
      <c r="B69" s="365"/>
      <c r="C69" s="365"/>
      <c r="D69" s="780"/>
      <c r="E69" s="780"/>
      <c r="F69" s="780"/>
      <c r="G69" s="518">
        <f>'Data 2009-15 (Real $2008)'!I111</f>
        <v>0</v>
      </c>
      <c r="H69" s="518">
        <f>'Data 2009-15 (Real $2008)'!J111</f>
        <v>0</v>
      </c>
      <c r="J69" s="781"/>
      <c r="K69" s="781"/>
      <c r="M69" s="517">
        <f>'Data 2009-15 (Real $2008)'!P111</f>
        <v>0</v>
      </c>
      <c r="N69" s="517">
        <f>'Data 2009-15 (Real $2008)'!Q111</f>
        <v>0</v>
      </c>
      <c r="S69" s="82">
        <f t="shared" si="8"/>
        <v>0</v>
      </c>
      <c r="T69" s="82">
        <f t="shared" si="8"/>
        <v>0</v>
      </c>
    </row>
    <row r="70" spans="1:20" s="360" customFormat="1" x14ac:dyDescent="0.25">
      <c r="A70" s="360" t="str">
        <f>'Data 2009-15 (Real $2008)'!A112</f>
        <v>Other Category 1 : Describe………………..</v>
      </c>
      <c r="B70" s="365"/>
      <c r="C70" s="365"/>
      <c r="D70" s="780"/>
      <c r="E70" s="780"/>
      <c r="F70" s="780"/>
      <c r="G70" s="518">
        <f>'Data 2009-15 (Real $2008)'!I112</f>
        <v>0</v>
      </c>
      <c r="H70" s="518">
        <f>'Data 2009-15 (Real $2008)'!J112</f>
        <v>0</v>
      </c>
      <c r="J70" s="781"/>
      <c r="K70" s="781"/>
      <c r="M70" s="517">
        <f>'Data 2009-15 (Real $2008)'!P112</f>
        <v>0</v>
      </c>
      <c r="N70" s="517">
        <f>'Data 2009-15 (Real $2008)'!Q112</f>
        <v>0</v>
      </c>
      <c r="S70" s="82">
        <f t="shared" si="8"/>
        <v>0</v>
      </c>
      <c r="T70" s="82">
        <f t="shared" si="8"/>
        <v>0</v>
      </c>
    </row>
    <row r="71" spans="1:20" s="360" customFormat="1" x14ac:dyDescent="0.25">
      <c r="A71" s="360" t="str">
        <f>'Data 2009-15 (Real $2008)'!A113</f>
        <v>Other Category 2 : Describe………………..</v>
      </c>
      <c r="B71" s="365"/>
      <c r="C71" s="365"/>
      <c r="D71" s="780"/>
      <c r="E71" s="780"/>
      <c r="F71" s="780"/>
      <c r="G71" s="518">
        <f>'Data 2009-15 (Real $2008)'!I113</f>
        <v>0</v>
      </c>
      <c r="H71" s="518">
        <f>'Data 2009-15 (Real $2008)'!J113</f>
        <v>0</v>
      </c>
      <c r="J71" s="781"/>
      <c r="K71" s="781"/>
      <c r="M71" s="517">
        <f>'Data 2009-15 (Real $2008)'!P113</f>
        <v>0</v>
      </c>
      <c r="N71" s="517">
        <f>'Data 2009-15 (Real $2008)'!Q113</f>
        <v>0</v>
      </c>
      <c r="S71" s="82">
        <f t="shared" si="8"/>
        <v>0</v>
      </c>
      <c r="T71" s="82">
        <f t="shared" si="8"/>
        <v>0</v>
      </c>
    </row>
    <row r="72" spans="1:20" s="360" customFormat="1" x14ac:dyDescent="0.25">
      <c r="A72" s="360" t="str">
        <f>'Data 2009-15 (Real $2008)'!A114</f>
        <v>Other Category 3 : Describe………………..</v>
      </c>
      <c r="B72" s="365"/>
      <c r="C72" s="365"/>
      <c r="D72" s="780"/>
      <c r="E72" s="780"/>
      <c r="F72" s="780"/>
      <c r="G72" s="518">
        <f>'Data 2009-15 (Real $2008)'!I114</f>
        <v>0</v>
      </c>
      <c r="H72" s="518">
        <f>'Data 2009-15 (Real $2008)'!J114</f>
        <v>0</v>
      </c>
      <c r="J72" s="781"/>
      <c r="K72" s="781"/>
      <c r="M72" s="517">
        <f>'Data 2009-15 (Real $2008)'!P114</f>
        <v>0</v>
      </c>
      <c r="N72" s="517">
        <f>'Data 2009-15 (Real $2008)'!Q114</f>
        <v>0</v>
      </c>
      <c r="S72" s="82">
        <f t="shared" si="8"/>
        <v>0</v>
      </c>
      <c r="T72" s="82">
        <f t="shared" si="8"/>
        <v>0</v>
      </c>
    </row>
    <row r="73" spans="1:20" s="360" customFormat="1" x14ac:dyDescent="0.25">
      <c r="A73" s="360" t="str">
        <f>'Data 2009-15 (Real $2008)'!A115</f>
        <v>Other Category 4 : Describe………………..</v>
      </c>
      <c r="B73" s="365"/>
      <c r="C73" s="365"/>
      <c r="D73" s="780"/>
      <c r="E73" s="780"/>
      <c r="F73" s="780"/>
      <c r="G73" s="518">
        <f>'Data 2009-15 (Real $2008)'!I115</f>
        <v>0</v>
      </c>
      <c r="H73" s="518">
        <f>'Data 2009-15 (Real $2008)'!J115</f>
        <v>0</v>
      </c>
      <c r="J73" s="781"/>
      <c r="K73" s="781"/>
      <c r="M73" s="517">
        <f>'Data 2009-15 (Real $2008)'!P115</f>
        <v>0</v>
      </c>
      <c r="N73" s="517">
        <f>'Data 2009-15 (Real $2008)'!Q115</f>
        <v>0</v>
      </c>
      <c r="S73" s="82">
        <f t="shared" si="8"/>
        <v>0</v>
      </c>
      <c r="T73" s="82">
        <f t="shared" si="8"/>
        <v>0</v>
      </c>
    </row>
    <row r="74" spans="1:20" s="360" customFormat="1" x14ac:dyDescent="0.25">
      <c r="A74" s="360" t="str">
        <f>'Data 2009-15 (Real $2008)'!A116</f>
        <v>Other Category 5 : Describe………………..</v>
      </c>
      <c r="B74" s="365"/>
      <c r="C74" s="365"/>
      <c r="D74" s="780"/>
      <c r="E74" s="780"/>
      <c r="F74" s="780"/>
      <c r="G74" s="518">
        <f>'Data 2009-15 (Real $2008)'!I116</f>
        <v>0</v>
      </c>
      <c r="H74" s="518">
        <f>'Data 2009-15 (Real $2008)'!J116</f>
        <v>0</v>
      </c>
      <c r="J74" s="781"/>
      <c r="K74" s="781"/>
      <c r="M74" s="517">
        <f>'Data 2009-15 (Real $2008)'!P116</f>
        <v>0</v>
      </c>
      <c r="N74" s="517">
        <f>'Data 2009-15 (Real $2008)'!Q116</f>
        <v>0</v>
      </c>
      <c r="S74" s="82">
        <f t="shared" si="8"/>
        <v>0</v>
      </c>
      <c r="T74" s="82">
        <f t="shared" si="8"/>
        <v>0</v>
      </c>
    </row>
    <row r="75" spans="1:20" s="360" customFormat="1" x14ac:dyDescent="0.25">
      <c r="B75" s="365"/>
      <c r="C75" s="365"/>
      <c r="F75" s="780"/>
      <c r="K75" s="781"/>
    </row>
    <row r="76" spans="1:20" s="360" customFormat="1" ht="13.8" thickBot="1" x14ac:dyDescent="0.3">
      <c r="A76" s="360" t="s">
        <v>335</v>
      </c>
      <c r="B76" s="365"/>
      <c r="C76" s="365"/>
      <c r="F76" s="780"/>
      <c r="S76" s="519">
        <f>SUM(S30:S74)</f>
        <v>123070.49353282094</v>
      </c>
      <c r="T76" s="519">
        <f>SUM(T30:T74)</f>
        <v>160048.72172391039</v>
      </c>
    </row>
    <row r="77" spans="1:20" s="360" customFormat="1" ht="13.8" thickTop="1" x14ac:dyDescent="0.25">
      <c r="B77" s="365"/>
      <c r="C77" s="365"/>
    </row>
    <row r="78" spans="1:20" s="360" customFormat="1" x14ac:dyDescent="0.25">
      <c r="B78" s="365"/>
      <c r="C78" s="365"/>
    </row>
    <row r="79" spans="1:20" s="360" customFormat="1" x14ac:dyDescent="0.25">
      <c r="B79" s="365"/>
      <c r="C79" s="365"/>
    </row>
  </sheetData>
  <mergeCells count="2">
    <mergeCell ref="M26:N26"/>
    <mergeCell ref="S26:T26"/>
  </mergeCells>
  <phoneticPr fontId="4" type="noConversion"/>
  <conditionalFormatting sqref="E17:J17">
    <cfRule type="cellIs" dxfId="0" priority="1" stopIfTrue="1" operator="greaterThan">
      <formula>0</formula>
    </cfRule>
  </conditionalFormatting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workbookViewId="0">
      <pane ySplit="1" topLeftCell="A2" activePane="bottomLeft" state="frozen"/>
      <selection pane="bottomLeft" activeCell="J57" sqref="J57"/>
    </sheetView>
  </sheetViews>
  <sheetFormatPr defaultColWidth="9.109375" defaultRowHeight="13.2" x14ac:dyDescent="0.25"/>
  <cols>
    <col min="1" max="1" width="53" style="360" customWidth="1"/>
    <col min="2" max="2" width="9.5546875" style="365" customWidth="1"/>
    <col min="3" max="3" width="8.44140625" style="365" customWidth="1"/>
    <col min="4" max="4" width="10.33203125" style="360" bestFit="1" customWidth="1"/>
    <col min="5" max="16384" width="9.109375" style="360"/>
  </cols>
  <sheetData>
    <row r="1" spans="1:22" x14ac:dyDescent="0.25">
      <c r="A1" s="555" t="str">
        <f>'Data 2006-08'!$A$1</f>
        <v>SP AusNet</v>
      </c>
      <c r="B1" s="495" t="s">
        <v>0</v>
      </c>
      <c r="C1" s="496" t="str">
        <f>IF(SUM(C35)&lt;0.001,"Ok","Error")</f>
        <v>Ok</v>
      </c>
      <c r="D1" s="784">
        <f>C35</f>
        <v>0</v>
      </c>
    </row>
    <row r="2" spans="1:22" x14ac:dyDescent="0.25">
      <c r="A2" s="268"/>
      <c r="B2" s="278"/>
      <c r="C2" s="278"/>
      <c r="D2" s="497"/>
      <c r="E2" s="422"/>
      <c r="F2" s="422"/>
      <c r="G2" s="422"/>
      <c r="H2" s="422"/>
      <c r="I2" s="422"/>
      <c r="J2" s="422"/>
      <c r="K2" s="359"/>
      <c r="L2" s="359"/>
      <c r="M2" s="359"/>
      <c r="N2" s="359"/>
      <c r="O2" s="498"/>
      <c r="P2" s="498"/>
      <c r="Q2" s="498"/>
      <c r="R2" s="498"/>
      <c r="S2" s="498"/>
      <c r="T2" s="498"/>
      <c r="U2" s="498"/>
      <c r="V2" s="498"/>
    </row>
    <row r="3" spans="1:22" s="84" customFormat="1" x14ac:dyDescent="0.25">
      <c r="C3" s="777" t="s">
        <v>393</v>
      </c>
      <c r="I3" s="777" t="s">
        <v>389</v>
      </c>
    </row>
    <row r="4" spans="1:22" s="84" customFormat="1" x14ac:dyDescent="0.25">
      <c r="A4" s="433" t="s">
        <v>308</v>
      </c>
      <c r="C4" s="777" t="s">
        <v>387</v>
      </c>
      <c r="I4" s="777" t="s">
        <v>390</v>
      </c>
    </row>
    <row r="5" spans="1:22" s="84" customFormat="1" x14ac:dyDescent="0.25"/>
    <row r="6" spans="1:22" s="84" customFormat="1" x14ac:dyDescent="0.25">
      <c r="A6" s="84" t="s">
        <v>309</v>
      </c>
      <c r="C6" s="434">
        <f>'Data 2009-15 (Real $2008)'!C127</f>
        <v>4.6300000000000001E-2</v>
      </c>
      <c r="I6" s="434">
        <f>'Data 2009-15 (Real $2008)'!I127</f>
        <v>4.02E-2</v>
      </c>
    </row>
    <row r="7" spans="1:22" s="84" customFormat="1" x14ac:dyDescent="0.25">
      <c r="A7" s="1" t="s">
        <v>11</v>
      </c>
      <c r="C7" s="435">
        <f>'Data 2009-15 (Real $2008)'!C128</f>
        <v>4.1250000000000002E-2</v>
      </c>
      <c r="I7" s="435">
        <f>'Data 2009-15 (Real $2008)'!I128</f>
        <v>2.53E-2</v>
      </c>
    </row>
    <row r="8" spans="1:22" s="84" customFormat="1" x14ac:dyDescent="0.25">
      <c r="A8" s="84" t="s">
        <v>13</v>
      </c>
      <c r="C8" s="435">
        <f>'Data 2009-15 (Real $2008)'!C131</f>
        <v>0.06</v>
      </c>
      <c r="I8" s="435">
        <f>'Data 2009-15 (Real $2008)'!I131</f>
        <v>6.5000000000000002E-2</v>
      </c>
    </row>
    <row r="9" spans="1:22" s="84" customFormat="1" x14ac:dyDescent="0.25">
      <c r="A9" s="84" t="s">
        <v>14</v>
      </c>
      <c r="C9" s="436">
        <f>'Data 2009-15 (Real $2008)'!C132</f>
        <v>1</v>
      </c>
      <c r="I9" s="436">
        <f>'Data 2009-15 (Real $2008)'!I132</f>
        <v>0.8</v>
      </c>
    </row>
    <row r="10" spans="1:22" s="84" customFormat="1" x14ac:dyDescent="0.25">
      <c r="A10" s="84" t="s">
        <v>15</v>
      </c>
      <c r="C10" s="437">
        <f>'Data 2009-15 (Real $2008)'!C133</f>
        <v>0.6</v>
      </c>
      <c r="I10" s="437">
        <f>'Data 2009-15 (Real $2008)'!I133</f>
        <v>0.6</v>
      </c>
    </row>
    <row r="11" spans="1:22" s="84" customFormat="1" x14ac:dyDescent="0.25">
      <c r="A11" s="84" t="s">
        <v>16</v>
      </c>
      <c r="C11" s="438">
        <f>'Data 2009-15 (Real $2008)'!C134</f>
        <v>2.5600000000000001E-2</v>
      </c>
      <c r="I11" s="438">
        <f>'Data 2009-15 (Real $2008)'!I134</f>
        <v>2.47E-2</v>
      </c>
    </row>
    <row r="12" spans="1:22" s="84" customFormat="1" x14ac:dyDescent="0.25"/>
    <row r="13" spans="1:22" s="84" customFormat="1" x14ac:dyDescent="0.25">
      <c r="A13" s="84" t="s">
        <v>81</v>
      </c>
      <c r="C13" s="439">
        <f>(C14+1)/(1+C11)-1</f>
        <v>7.868564742589701E-2</v>
      </c>
      <c r="D13" s="421"/>
      <c r="I13" s="439">
        <f>(I14+1)/(1+I11)-1</f>
        <v>6.5872938421001281E-2</v>
      </c>
    </row>
    <row r="14" spans="1:22" s="84" customFormat="1" x14ac:dyDescent="0.25">
      <c r="A14" s="84" t="s">
        <v>82</v>
      </c>
      <c r="C14" s="440">
        <f>C6+C9*C8</f>
        <v>0.10630000000000001</v>
      </c>
      <c r="D14" s="421"/>
      <c r="I14" s="440">
        <f>I6+I9*I8</f>
        <v>9.2200000000000004E-2</v>
      </c>
    </row>
    <row r="15" spans="1:22" s="84" customFormat="1" x14ac:dyDescent="0.25">
      <c r="A15" s="84" t="s">
        <v>83</v>
      </c>
      <c r="C15" s="441">
        <f>(C16+1)/(1+C11)-1</f>
        <v>6.0403666146645829E-2</v>
      </c>
      <c r="D15" s="428"/>
      <c r="E15" s="85"/>
      <c r="F15" s="85"/>
      <c r="G15" s="85"/>
      <c r="H15" s="85"/>
      <c r="I15" s="441">
        <f>(I16+1)/(1+I11)-1</f>
        <v>3.981653166780541E-2</v>
      </c>
      <c r="J15" s="85"/>
      <c r="K15" s="85"/>
      <c r="L15" s="85"/>
    </row>
    <row r="16" spans="1:22" s="84" customFormat="1" x14ac:dyDescent="0.25">
      <c r="A16" s="84" t="s">
        <v>84</v>
      </c>
      <c r="C16" s="442">
        <f>C6+C7</f>
        <v>8.7550000000000003E-2</v>
      </c>
      <c r="D16" s="443"/>
      <c r="E16" s="444"/>
      <c r="F16" s="445"/>
      <c r="G16" s="445"/>
      <c r="H16" s="445"/>
      <c r="I16" s="442">
        <f>I6+I7</f>
        <v>6.5500000000000003E-2</v>
      </c>
      <c r="J16" s="445"/>
      <c r="K16" s="85"/>
      <c r="L16" s="85"/>
    </row>
    <row r="17" spans="1:33" s="84" customFormat="1" x14ac:dyDescent="0.25"/>
    <row r="18" spans="1:33" s="84" customFormat="1" x14ac:dyDescent="0.25">
      <c r="A18" s="84" t="s">
        <v>337</v>
      </c>
      <c r="C18" s="439">
        <f>(C13*(1-C10))+(C15*C10)</f>
        <v>6.7716458658346301E-2</v>
      </c>
      <c r="D18" s="443"/>
      <c r="E18" s="444"/>
      <c r="F18" s="446"/>
      <c r="G18" s="446"/>
      <c r="H18" s="446"/>
      <c r="I18" s="439">
        <f>(I13*(1-I10))+(I15*I10)</f>
        <v>5.0239094369083762E-2</v>
      </c>
      <c r="J18" s="446"/>
      <c r="K18" s="85"/>
      <c r="L18" s="85"/>
    </row>
    <row r="19" spans="1:33" s="84" customFormat="1" x14ac:dyDescent="0.25">
      <c r="A19" s="84" t="s">
        <v>338</v>
      </c>
      <c r="C19" s="442">
        <f>(C14*(1-C10))+(C16*C10)</f>
        <v>9.5049999999999996E-2</v>
      </c>
      <c r="D19" s="447"/>
      <c r="E19" s="529"/>
      <c r="F19" s="85"/>
      <c r="G19" s="85"/>
      <c r="H19" s="85"/>
      <c r="I19" s="442">
        <f>(I14*(1-I10))+(I16*I10)</f>
        <v>7.6179999999999998E-2</v>
      </c>
      <c r="J19" s="85"/>
      <c r="K19" s="85"/>
      <c r="L19" s="85"/>
    </row>
    <row r="20" spans="1:33" x14ac:dyDescent="0.25">
      <c r="A20" s="268"/>
      <c r="B20" s="278"/>
      <c r="C20" s="278"/>
      <c r="D20" s="497"/>
      <c r="E20" s="422"/>
      <c r="F20" s="422"/>
      <c r="G20" s="422"/>
      <c r="H20" s="422"/>
      <c r="I20" s="422"/>
      <c r="J20" s="422"/>
      <c r="K20" s="359"/>
      <c r="L20" s="359"/>
      <c r="M20" s="359"/>
      <c r="N20" s="359"/>
      <c r="O20" s="498"/>
      <c r="P20" s="498"/>
      <c r="Q20" s="498"/>
      <c r="R20" s="498"/>
      <c r="S20" s="498"/>
      <c r="T20" s="498"/>
      <c r="U20" s="498"/>
      <c r="V20" s="498"/>
    </row>
    <row r="21" spans="1:33" x14ac:dyDescent="0.25">
      <c r="A21" s="268"/>
      <c r="B21" s="278"/>
      <c r="C21" s="278"/>
      <c r="D21" s="391">
        <v>2009</v>
      </c>
      <c r="E21" s="391">
        <v>2010</v>
      </c>
      <c r="F21" s="391">
        <v>2011</v>
      </c>
      <c r="G21" s="391">
        <v>2012</v>
      </c>
      <c r="H21" s="391">
        <v>2013</v>
      </c>
      <c r="I21" s="391">
        <v>2014</v>
      </c>
      <c r="J21" s="391">
        <v>2015</v>
      </c>
      <c r="K21" s="359"/>
      <c r="L21" s="359"/>
      <c r="M21" s="359"/>
      <c r="N21" s="359"/>
      <c r="O21" s="498"/>
      <c r="P21" s="498"/>
      <c r="Q21" s="498"/>
      <c r="R21" s="498"/>
      <c r="S21" s="498"/>
      <c r="T21" s="498"/>
      <c r="U21" s="498"/>
      <c r="V21" s="498"/>
    </row>
    <row r="22" spans="1:33" x14ac:dyDescent="0.25">
      <c r="A22" s="422" t="s">
        <v>86</v>
      </c>
      <c r="B22" s="278"/>
      <c r="C22" s="278"/>
      <c r="D22" s="554">
        <f>'Data 2009-15 (Real $2008)'!D144</f>
        <v>4.9810844892812067E-2</v>
      </c>
      <c r="E22" s="554">
        <f>'Data 2009-15 (Real $2008)'!E144</f>
        <v>1.2612612612612484E-2</v>
      </c>
      <c r="F22" s="554">
        <f>'Data 2009-15 (Real $2008)'!F144</f>
        <v>2.7876631079478242E-2</v>
      </c>
      <c r="G22" s="554">
        <f>'Data 2009-15 (Real $2008)'!G144</f>
        <v>3.5199076745527913E-2</v>
      </c>
      <c r="H22" s="554">
        <f>'Data 2009-15 (Real $2008)'!H144</f>
        <v>2.0040080160320661E-2</v>
      </c>
      <c r="I22" s="554">
        <f>'Data 2009-15 (Real $2008)'!I144</f>
        <v>2.16110019646365E-2</v>
      </c>
      <c r="J22" s="554">
        <f>'Data 2009-15 (Real $2008)'!J144</f>
        <v>2.3076923076923217E-2</v>
      </c>
      <c r="K22" s="359"/>
      <c r="L22" s="359"/>
      <c r="M22" s="359"/>
      <c r="N22" s="359"/>
      <c r="O22" s="498"/>
      <c r="P22" s="498"/>
      <c r="Q22" s="498"/>
      <c r="R22" s="498"/>
      <c r="S22" s="498"/>
      <c r="T22" s="498"/>
      <c r="U22" s="498"/>
      <c r="V22" s="498"/>
    </row>
    <row r="23" spans="1:33" x14ac:dyDescent="0.25">
      <c r="A23" s="279" t="str">
        <f>A18</f>
        <v>Vanilla' after tax WACC (real)</v>
      </c>
      <c r="B23" s="278"/>
      <c r="C23" s="278"/>
      <c r="D23" s="513">
        <f>$C$18</f>
        <v>6.7716458658346301E-2</v>
      </c>
      <c r="E23" s="513">
        <f>$C$18</f>
        <v>6.7716458658346301E-2</v>
      </c>
      <c r="F23" s="513">
        <f>$C$18</f>
        <v>6.7716458658346301E-2</v>
      </c>
      <c r="G23" s="513">
        <f>$C$18</f>
        <v>6.7716458658346301E-2</v>
      </c>
      <c r="H23" s="513">
        <f>$C$18</f>
        <v>6.7716458658346301E-2</v>
      </c>
      <c r="I23" s="513">
        <f>$I$18</f>
        <v>5.0239094369083762E-2</v>
      </c>
      <c r="J23" s="513">
        <f>$I$18</f>
        <v>5.0239094369083762E-2</v>
      </c>
      <c r="K23" s="359"/>
      <c r="L23" s="359"/>
      <c r="M23" s="359"/>
      <c r="N23" s="359"/>
      <c r="O23" s="498"/>
      <c r="P23" s="498"/>
      <c r="Q23" s="498"/>
      <c r="R23" s="498"/>
      <c r="S23" s="498"/>
      <c r="T23" s="498"/>
      <c r="U23" s="498"/>
      <c r="V23" s="498"/>
    </row>
    <row r="24" spans="1:33" x14ac:dyDescent="0.25">
      <c r="A24" s="423" t="str">
        <f>A19</f>
        <v>Vanilla' after tax WACC (nominal)</v>
      </c>
      <c r="B24" s="278"/>
      <c r="C24" s="278"/>
      <c r="D24" s="513">
        <f t="shared" ref="D24:J24" si="0">(1+D23)*(1+D22)-1</f>
        <v>0.1209003175700798</v>
      </c>
      <c r="E24" s="513">
        <f t="shared" si="0"/>
        <v>8.1183152731514552E-2</v>
      </c>
      <c r="F24" s="513">
        <f t="shared" si="0"/>
        <v>9.7480796473851994E-2</v>
      </c>
      <c r="G24" s="513">
        <f t="shared" si="0"/>
        <v>0.10529909222912481</v>
      </c>
      <c r="H24" s="513">
        <f t="shared" si="0"/>
        <v>8.9113582078353293E-2</v>
      </c>
      <c r="I24" s="513">
        <f t="shared" si="0"/>
        <v>7.2935813500832225E-2</v>
      </c>
      <c r="J24" s="513">
        <f t="shared" si="0"/>
        <v>7.4475381162216747E-2</v>
      </c>
      <c r="K24" s="359"/>
      <c r="L24" s="359"/>
      <c r="M24" s="359"/>
      <c r="N24" s="359"/>
      <c r="O24" s="498"/>
      <c r="P24" s="498"/>
      <c r="Q24" s="498"/>
      <c r="R24" s="498"/>
      <c r="S24" s="498"/>
      <c r="T24" s="498"/>
      <c r="U24" s="498"/>
      <c r="V24" s="498"/>
    </row>
    <row r="25" spans="1:33" x14ac:dyDescent="0.25">
      <c r="A25" s="423"/>
      <c r="B25" s="278"/>
      <c r="C25" s="278"/>
      <c r="D25" s="497"/>
      <c r="E25" s="422"/>
      <c r="F25" s="422"/>
      <c r="G25" s="422"/>
      <c r="H25" s="422"/>
      <c r="I25" s="422"/>
      <c r="J25" s="422"/>
      <c r="K25" s="359"/>
      <c r="L25" s="359"/>
      <c r="M25" s="359"/>
      <c r="N25" s="359"/>
      <c r="O25" s="498"/>
      <c r="P25" s="498"/>
      <c r="Q25" s="498"/>
      <c r="R25" s="498"/>
      <c r="S25" s="498"/>
      <c r="T25" s="498"/>
      <c r="U25" s="498"/>
      <c r="V25" s="498"/>
    </row>
    <row r="26" spans="1:33" x14ac:dyDescent="0.25">
      <c r="A26" s="268"/>
      <c r="B26" s="278"/>
      <c r="C26" s="278"/>
      <c r="D26" s="497"/>
      <c r="E26" s="422"/>
      <c r="F26" s="422"/>
      <c r="G26" s="422"/>
      <c r="H26" s="422"/>
      <c r="I26" s="422"/>
      <c r="J26" s="422"/>
      <c r="K26" s="359"/>
      <c r="L26" s="359"/>
      <c r="M26" s="359"/>
      <c r="N26" s="359"/>
      <c r="O26" s="498"/>
      <c r="P26" s="498"/>
      <c r="Q26" s="498"/>
      <c r="R26" s="498"/>
      <c r="S26" s="498"/>
      <c r="T26" s="498"/>
      <c r="U26" s="498"/>
      <c r="V26" s="498"/>
    </row>
    <row r="27" spans="1:33" x14ac:dyDescent="0.25">
      <c r="A27" s="500" t="s">
        <v>332</v>
      </c>
      <c r="B27" s="508"/>
      <c r="C27" s="508"/>
      <c r="D27" s="498"/>
      <c r="E27" s="531" t="s">
        <v>350</v>
      </c>
      <c r="F27" s="498"/>
      <c r="G27" s="498"/>
      <c r="H27" s="498"/>
      <c r="I27" s="498"/>
      <c r="J27" s="498"/>
      <c r="K27" s="359"/>
      <c r="L27" s="359"/>
      <c r="M27" s="359"/>
      <c r="N27" s="359"/>
      <c r="O27" s="498"/>
      <c r="Q27" s="531" t="s">
        <v>349</v>
      </c>
      <c r="R27" s="499"/>
      <c r="S27" s="499"/>
      <c r="T27" s="499"/>
      <c r="U27" s="499"/>
      <c r="V27" s="499"/>
      <c r="X27" s="359"/>
      <c r="Y27" s="359"/>
      <c r="Z27" s="498"/>
      <c r="AB27" s="531" t="s">
        <v>349</v>
      </c>
      <c r="AC27" s="499"/>
    </row>
    <row r="28" spans="1:33" x14ac:dyDescent="0.25">
      <c r="A28" s="500"/>
      <c r="B28" s="509"/>
      <c r="C28" s="509"/>
      <c r="D28" s="498"/>
      <c r="E28" s="498"/>
      <c r="F28" s="498"/>
      <c r="G28" s="498"/>
      <c r="H28" s="498"/>
      <c r="I28" s="498"/>
      <c r="J28" s="498"/>
      <c r="K28" s="359"/>
      <c r="L28" s="359"/>
      <c r="N28" s="359"/>
      <c r="O28" s="498"/>
      <c r="P28" s="501"/>
      <c r="Q28" s="502"/>
      <c r="R28" s="502"/>
      <c r="S28" s="502"/>
      <c r="T28" s="502"/>
      <c r="U28" s="499"/>
      <c r="V28" s="499"/>
      <c r="Y28" s="359"/>
      <c r="Z28" s="498"/>
      <c r="AA28" s="501"/>
      <c r="AB28" s="502"/>
      <c r="AC28" s="502"/>
      <c r="AD28" s="502"/>
      <c r="AE28" s="502"/>
    </row>
    <row r="29" spans="1:33" x14ac:dyDescent="0.25">
      <c r="A29" s="409" t="s">
        <v>297</v>
      </c>
      <c r="B29" s="510"/>
      <c r="C29" s="510"/>
      <c r="D29" s="391">
        <f>$D$21</f>
        <v>2009</v>
      </c>
      <c r="E29" s="391">
        <f>$E$21</f>
        <v>2010</v>
      </c>
      <c r="F29" s="391">
        <f>$F$21</f>
        <v>2011</v>
      </c>
      <c r="G29" s="391">
        <f>$G$21</f>
        <v>2012</v>
      </c>
      <c r="H29" s="391">
        <f>$H$21</f>
        <v>2013</v>
      </c>
      <c r="I29" s="391">
        <f>$I$21</f>
        <v>2014</v>
      </c>
      <c r="J29" s="391">
        <f>$J$21</f>
        <v>2015</v>
      </c>
      <c r="K29" s="503"/>
      <c r="L29" s="503"/>
      <c r="M29" s="409" t="s">
        <v>297</v>
      </c>
      <c r="P29" s="391">
        <f>$D$21</f>
        <v>2009</v>
      </c>
      <c r="Q29" s="391">
        <f>$E$21</f>
        <v>2010</v>
      </c>
      <c r="R29" s="391">
        <f>$F$21</f>
        <v>2011</v>
      </c>
      <c r="S29" s="391">
        <f>$G$21</f>
        <v>2012</v>
      </c>
      <c r="T29" s="391">
        <f>$H$21</f>
        <v>2013</v>
      </c>
      <c r="U29" s="391">
        <f>$I$21</f>
        <v>2014</v>
      </c>
      <c r="V29" s="391">
        <f>$J$21</f>
        <v>2015</v>
      </c>
      <c r="X29" s="409" t="s">
        <v>289</v>
      </c>
      <c r="AA29" s="391">
        <f>$D$21</f>
        <v>2009</v>
      </c>
      <c r="AB29" s="391">
        <f>$E$21</f>
        <v>2010</v>
      </c>
      <c r="AC29" s="391">
        <f>$F$21</f>
        <v>2011</v>
      </c>
      <c r="AD29" s="391">
        <f>$G$21</f>
        <v>2012</v>
      </c>
      <c r="AE29" s="391">
        <f>$H$21</f>
        <v>2013</v>
      </c>
      <c r="AF29" s="391">
        <f>$I$21</f>
        <v>2014</v>
      </c>
      <c r="AG29" s="391">
        <f>$J$21</f>
        <v>2015</v>
      </c>
    </row>
    <row r="30" spans="1:33" x14ac:dyDescent="0.25">
      <c r="A30" s="360" t="s">
        <v>136</v>
      </c>
      <c r="D30" s="82">
        <f>D24*('AMI RAB 2009-15'!D12*'Data 2009-15 (Real $2008)'!D145-D38)</f>
        <v>5929.1583384016421</v>
      </c>
      <c r="E30" s="82">
        <f>E24*('AMI RAB 2009-15'!E12*'Data 2009-15 (Real $2008)'!E145-E38)</f>
        <v>8104.5433383910013</v>
      </c>
      <c r="F30" s="82">
        <f>F24*('AMI RAB 2009-15'!F12*'Data 2009-15 (Real $2008)'!F145-F38)</f>
        <v>17098.547467727261</v>
      </c>
      <c r="G30" s="82">
        <f>G24*('AMI RAB 2009-15'!G12*'Data 2009-15 (Real $2008)'!G145-G38)</f>
        <v>28212.291115684373</v>
      </c>
      <c r="H30" s="82">
        <f>H24*('AMI RAB 2009-15'!H12*'Data 2009-15 (Real $2008)'!H145-H38)</f>
        <v>31900.791925382597</v>
      </c>
      <c r="I30" s="82">
        <f>I24*('AMI RAB 2009-15'!I12*'Data 2009-15 (Real $2008)'!I145-I38)</f>
        <v>29240.915232151361</v>
      </c>
      <c r="J30" s="82">
        <f>J24*('AMI RAB 2009-15'!J12*'Data 2009-15 (Real $2008)'!J145-J38)</f>
        <v>30613.376346192556</v>
      </c>
      <c r="K30" s="504"/>
      <c r="L30" s="504"/>
      <c r="M30" s="360" t="s">
        <v>136</v>
      </c>
      <c r="N30" s="504"/>
      <c r="O30" s="359"/>
      <c r="P30" s="82">
        <f>D23*'AMI RAB 2009-15'!D12*'Data 2009-15 (Real $2008)'!D145</f>
        <v>3486.3493179219727</v>
      </c>
      <c r="Q30" s="82">
        <f>E23*'AMI RAB 2009-15'!E12*'Data 2009-15 (Real $2008)'!E145</f>
        <v>6845.4216845755709</v>
      </c>
      <c r="R30" s="82">
        <f>F23*'AMI RAB 2009-15'!F12*'Data 2009-15 (Real $2008)'!F145</f>
        <v>12208.867479519171</v>
      </c>
      <c r="S30" s="82">
        <f>G23*'AMI RAB 2009-15'!G12*'Data 2009-15 (Real $2008)'!G145</f>
        <v>18781.567838532661</v>
      </c>
      <c r="T30" s="82">
        <f>H23*'AMI RAB 2009-15'!H12*'Data 2009-15 (Real $2008)'!H145</f>
        <v>24726.863861305032</v>
      </c>
      <c r="U30" s="82">
        <f>I23*'AMI RAB 2009-15'!I12*'Data 2009-15 (Real $2008)'!I145</f>
        <v>20576.783769182406</v>
      </c>
      <c r="V30" s="82">
        <f>J23*'AMI RAB 2009-15'!J12*'Data 2009-15 (Real $2008)'!J145</f>
        <v>21127.523168385702</v>
      </c>
      <c r="X30" s="360" t="s">
        <v>136</v>
      </c>
      <c r="Y30" s="504"/>
      <c r="Z30" s="359"/>
      <c r="AA30" s="82">
        <f>D23*'AMI RAB 2009-15'!D12</f>
        <v>3320.9309418764255</v>
      </c>
      <c r="AB30" s="82">
        <f>E23*'AMI RAB 2009-15'!E12</f>
        <v>6439.4061635449925</v>
      </c>
      <c r="AC30" s="82">
        <f>F23*'AMI RAB 2009-15'!F12</f>
        <v>11173.262448076979</v>
      </c>
      <c r="AD30" s="82">
        <f>G23*'AMI RAB 2009-15'!G12</f>
        <v>16603.994755804237</v>
      </c>
      <c r="AE30" s="82">
        <f>H23*'AMI RAB 2009-15'!H12</f>
        <v>21430.511918062239</v>
      </c>
      <c r="AF30" s="82">
        <f>I23*'AMI RAB 2009-15'!I12</f>
        <v>17456.430355355165</v>
      </c>
      <c r="AG30" s="82">
        <f>J23*'AMI RAB 2009-15'!J12</f>
        <v>17519.360295371374</v>
      </c>
    </row>
    <row r="31" spans="1:33" x14ac:dyDescent="0.25">
      <c r="A31" s="360" t="s">
        <v>137</v>
      </c>
      <c r="D31" s="82">
        <f t="shared" ref="D31:J31" si="1">D39</f>
        <v>7841.4996236364614</v>
      </c>
      <c r="E31" s="82">
        <f t="shared" si="1"/>
        <v>18344.214139890744</v>
      </c>
      <c r="F31" s="82">
        <f t="shared" si="1"/>
        <v>26206.955580040398</v>
      </c>
      <c r="G31" s="82">
        <f t="shared" si="1"/>
        <v>34445.846542166939</v>
      </c>
      <c r="H31" s="82">
        <f t="shared" si="1"/>
        <v>49627.176884218097</v>
      </c>
      <c r="I31" s="82">
        <f t="shared" si="1"/>
        <v>45620.481350116701</v>
      </c>
      <c r="J31" s="82">
        <f t="shared" si="1"/>
        <v>51440.481070083624</v>
      </c>
      <c r="K31" s="504"/>
      <c r="L31" s="504"/>
      <c r="M31" s="360" t="s">
        <v>137</v>
      </c>
      <c r="N31" s="504"/>
      <c r="O31" s="359"/>
      <c r="P31" s="82">
        <f>'AMI RAB 2009-15'!D9*'Data 2009-15 (Real $2008)'!D145</f>
        <v>10284.30864411613</v>
      </c>
      <c r="Q31" s="82">
        <f>'AMI RAB 2009-15'!E9*'Data 2009-15 (Real $2008)'!E145</f>
        <v>19603.33579370617</v>
      </c>
      <c r="R31" s="82">
        <f>'AMI RAB 2009-15'!F9*'Data 2009-15 (Real $2008)'!F145</f>
        <v>31096.635568248486</v>
      </c>
      <c r="S31" s="82">
        <f>'AMI RAB 2009-15'!G9*'Data 2009-15 (Real $2008)'!G145</f>
        <v>43876.569819318625</v>
      </c>
      <c r="T31" s="82">
        <f>'AMI RAB 2009-15'!H9*'Data 2009-15 (Real $2008)'!H145</f>
        <v>56801.104948295651</v>
      </c>
      <c r="U31" s="82">
        <f>'AMI RAB 2009-15'!I9*'Data 2009-15 (Real $2008)'!I145</f>
        <v>54284.612813085601</v>
      </c>
      <c r="V31" s="82">
        <f>'AMI RAB 2009-15'!J9*'Data 2009-15 (Real $2008)'!J145</f>
        <v>60926.334247890423</v>
      </c>
      <c r="X31" s="360" t="s">
        <v>137</v>
      </c>
      <c r="Y31" s="504"/>
      <c r="Z31" s="359"/>
      <c r="AA31" s="82">
        <f>'AMI RAB 2009-15'!D9</f>
        <v>9796.3444501911017</v>
      </c>
      <c r="AB31" s="82">
        <f>'AMI RAB 2009-15'!E9</f>
        <v>18440.623113177931</v>
      </c>
      <c r="AC31" s="82">
        <f>'AMI RAB 2009-15'!F9</f>
        <v>28458.894409256834</v>
      </c>
      <c r="AD31" s="82">
        <f>'AMI RAB 2009-15'!G9</f>
        <v>38789.431289542554</v>
      </c>
      <c r="AE31" s="82">
        <f>'AMI RAB 2009-15'!H9</f>
        <v>49228.918126510391</v>
      </c>
      <c r="AF31" s="82">
        <f>'AMI RAB 2009-15'!I9</f>
        <v>46052.656895694337</v>
      </c>
      <c r="AG31" s="82">
        <f>'AMI RAB 2009-15'!J9</f>
        <v>50521.322005326816</v>
      </c>
    </row>
    <row r="32" spans="1:33" x14ac:dyDescent="0.25">
      <c r="A32" s="360" t="s">
        <v>138</v>
      </c>
      <c r="D32" s="82">
        <f>'Data 2009-15 (Real $2008)'!D55*'Data 2009-15 (Real $2008)'!D145/10^3</f>
        <v>27133.020450744913</v>
      </c>
      <c r="E32" s="82">
        <f>'Data 2009-15 (Real $2008)'!E55*'Data 2009-15 (Real $2008)'!E145/10^3</f>
        <v>39809.474162623126</v>
      </c>
      <c r="F32" s="82">
        <f>'Data 2009-15 (Real $2008)'!F55*'Data 2009-15 (Real $2008)'!F145/10^3</f>
        <v>42811.168404355973</v>
      </c>
      <c r="G32" s="82">
        <f>'Data 2009-15 (Real $2008)'!G55*'Data 2009-15 (Real $2008)'!G145/10^3</f>
        <v>40190.981149277504</v>
      </c>
      <c r="H32" s="82">
        <f>'Data 2009-15 (Real $2008)'!H55*'Data 2009-15 (Real $2008)'!H145/10^3</f>
        <v>32545.055</v>
      </c>
      <c r="I32" s="82">
        <f>'Data 2009-15 (Real $2008)'!I55*'Data 2009-15 (Real $2008)'!I145/10^3</f>
        <v>40265.405976160167</v>
      </c>
      <c r="J32" s="82">
        <f>'Data 2009-15 (Real $2008)'!J55*'Data 2009-15 (Real $2008)'!J145/10^3</f>
        <v>40209.151459006782</v>
      </c>
      <c r="K32" s="504"/>
      <c r="L32" s="504"/>
      <c r="M32" s="360" t="s">
        <v>138</v>
      </c>
      <c r="N32" s="504"/>
      <c r="O32" s="505"/>
      <c r="P32" s="82">
        <f>'Data 2009-15 (Real $2008)'!D55*'Data 2009-15 (Real $2008)'!D145/10^3</f>
        <v>27133.020450744913</v>
      </c>
      <c r="Q32" s="82">
        <f>'Data 2009-15 (Real $2008)'!E55*'Data 2009-15 (Real $2008)'!E145/10^3</f>
        <v>39809.474162623126</v>
      </c>
      <c r="R32" s="82">
        <f>'Data 2009-15 (Real $2008)'!F55*'Data 2009-15 (Real $2008)'!F145/10^3</f>
        <v>42811.168404355973</v>
      </c>
      <c r="S32" s="82">
        <f>'Data 2009-15 (Real $2008)'!G55*'Data 2009-15 (Real $2008)'!G145/10^3</f>
        <v>40190.981149277504</v>
      </c>
      <c r="T32" s="82">
        <f>'Data 2009-15 (Real $2008)'!H55*'Data 2009-15 (Real $2008)'!H145/10^3</f>
        <v>32545.055</v>
      </c>
      <c r="U32" s="82">
        <f>'Data 2009-15 (Real $2008)'!I55*'Data 2009-15 (Real $2008)'!I145/10^3</f>
        <v>40265.405976160167</v>
      </c>
      <c r="V32" s="82">
        <f>'Data 2009-15 (Real $2008)'!J55*'Data 2009-15 (Real $2008)'!J145/10^3</f>
        <v>40209.151459006782</v>
      </c>
      <c r="X32" s="360" t="s">
        <v>138</v>
      </c>
      <c r="Y32" s="504"/>
      <c r="Z32" s="505"/>
      <c r="AA32" s="82">
        <f>'Data 2009-15 (Real $2008)'!D55/10^3</f>
        <v>25845.627888817675</v>
      </c>
      <c r="AB32" s="82">
        <f>'Data 2009-15 (Real $2008)'!E55/10^3</f>
        <v>37448.295386666839</v>
      </c>
      <c r="AC32" s="82">
        <f>'Data 2009-15 (Real $2008)'!F55/10^3</f>
        <v>39179.753657996866</v>
      </c>
      <c r="AD32" s="82">
        <f>'Data 2009-15 (Real $2008)'!G55/10^3</f>
        <v>35531.157247912</v>
      </c>
      <c r="AE32" s="82">
        <f>'Data 2009-15 (Real $2008)'!H55/10^3</f>
        <v>28206.45565744142</v>
      </c>
      <c r="AF32" s="82">
        <f>'Data 2009-15 (Real $2008)'!I55/10^3</f>
        <v>34159.383849173348</v>
      </c>
      <c r="AG32" s="82">
        <f>'Data 2009-15 (Real $2008)'!J55/10^3</f>
        <v>33342.22407270097</v>
      </c>
    </row>
    <row r="33" spans="1:33" x14ac:dyDescent="0.25">
      <c r="A33" s="360" t="s">
        <v>294</v>
      </c>
      <c r="D33" s="82">
        <f t="shared" ref="D33:J33" si="2">D60</f>
        <v>0</v>
      </c>
      <c r="E33" s="82">
        <f t="shared" si="2"/>
        <v>0</v>
      </c>
      <c r="F33" s="82">
        <f t="shared" si="2"/>
        <v>0</v>
      </c>
      <c r="G33" s="82">
        <f t="shared" si="2"/>
        <v>0</v>
      </c>
      <c r="H33" s="82">
        <f t="shared" si="2"/>
        <v>0</v>
      </c>
      <c r="I33" s="82">
        <f t="shared" si="2"/>
        <v>0</v>
      </c>
      <c r="J33" s="82">
        <f t="shared" si="2"/>
        <v>0</v>
      </c>
      <c r="K33" s="504"/>
      <c r="L33" s="504"/>
      <c r="M33" s="360" t="s">
        <v>294</v>
      </c>
      <c r="N33" s="504"/>
      <c r="O33" s="395"/>
      <c r="P33" s="82">
        <f t="shared" ref="P33:V33" si="3">D60</f>
        <v>0</v>
      </c>
      <c r="Q33" s="82">
        <f t="shared" si="3"/>
        <v>0</v>
      </c>
      <c r="R33" s="82">
        <f t="shared" si="3"/>
        <v>0</v>
      </c>
      <c r="S33" s="82">
        <f t="shared" si="3"/>
        <v>0</v>
      </c>
      <c r="T33" s="82">
        <f t="shared" si="3"/>
        <v>0</v>
      </c>
      <c r="U33" s="82">
        <f t="shared" si="3"/>
        <v>0</v>
      </c>
      <c r="V33" s="82">
        <f t="shared" si="3"/>
        <v>0</v>
      </c>
      <c r="X33" s="360" t="s">
        <v>294</v>
      </c>
      <c r="Y33" s="504"/>
      <c r="Z33" s="395"/>
      <c r="AA33" s="82">
        <f t="shared" ref="AA33:AG33" si="4">D64</f>
        <v>0</v>
      </c>
      <c r="AB33" s="82">
        <f t="shared" si="4"/>
        <v>0</v>
      </c>
      <c r="AC33" s="82">
        <f t="shared" si="4"/>
        <v>0</v>
      </c>
      <c r="AD33" s="82">
        <f t="shared" si="4"/>
        <v>0</v>
      </c>
      <c r="AE33" s="82">
        <f t="shared" si="4"/>
        <v>0</v>
      </c>
      <c r="AF33" s="82">
        <f t="shared" si="4"/>
        <v>0</v>
      </c>
      <c r="AG33" s="82">
        <f t="shared" si="4"/>
        <v>0</v>
      </c>
    </row>
    <row r="34" spans="1:33" x14ac:dyDescent="0.25">
      <c r="A34" s="357" t="s">
        <v>348</v>
      </c>
      <c r="B34" s="507"/>
      <c r="C34" s="507"/>
      <c r="D34" s="109">
        <f t="shared" ref="D34:J34" si="5">SUM(D30:D33)</f>
        <v>40903.678412783018</v>
      </c>
      <c r="E34" s="109">
        <f t="shared" si="5"/>
        <v>66258.23164090488</v>
      </c>
      <c r="F34" s="109">
        <f t="shared" si="5"/>
        <v>86116.671452123643</v>
      </c>
      <c r="G34" s="109">
        <f t="shared" si="5"/>
        <v>102849.11880712882</v>
      </c>
      <c r="H34" s="109">
        <f t="shared" si="5"/>
        <v>114073.02380960068</v>
      </c>
      <c r="I34" s="109">
        <f t="shared" si="5"/>
        <v>115126.80255842823</v>
      </c>
      <c r="J34" s="109">
        <f t="shared" si="5"/>
        <v>122263.00887528296</v>
      </c>
      <c r="K34" s="504"/>
      <c r="L34" s="504"/>
      <c r="M34" s="357" t="s">
        <v>348</v>
      </c>
      <c r="N34" s="504"/>
      <c r="O34" s="395"/>
      <c r="P34" s="109">
        <f t="shared" ref="P34:V34" si="6">SUM(P30:P33)</f>
        <v>40903.678412783018</v>
      </c>
      <c r="Q34" s="109">
        <f t="shared" si="6"/>
        <v>66258.231640904865</v>
      </c>
      <c r="R34" s="109">
        <f t="shared" si="6"/>
        <v>86116.671452123628</v>
      </c>
      <c r="S34" s="109">
        <f t="shared" si="6"/>
        <v>102849.11880712879</v>
      </c>
      <c r="T34" s="109">
        <f t="shared" si="6"/>
        <v>114073.02380960068</v>
      </c>
      <c r="U34" s="109">
        <f t="shared" si="6"/>
        <v>115126.80255842817</v>
      </c>
      <c r="V34" s="109">
        <f t="shared" si="6"/>
        <v>122263.0088752829</v>
      </c>
      <c r="X34" s="357" t="s">
        <v>348</v>
      </c>
      <c r="Y34" s="504"/>
      <c r="Z34" s="395"/>
      <c r="AA34" s="109">
        <f t="shared" ref="AA34:AG34" si="7">SUM(AA30:AA33)</f>
        <v>38962.903280885206</v>
      </c>
      <c r="AB34" s="109">
        <f t="shared" si="7"/>
        <v>62328.324663389765</v>
      </c>
      <c r="AC34" s="109">
        <f t="shared" si="7"/>
        <v>78811.910515330674</v>
      </c>
      <c r="AD34" s="109">
        <f t="shared" si="7"/>
        <v>90924.583293258795</v>
      </c>
      <c r="AE34" s="109">
        <f t="shared" si="7"/>
        <v>98865.885702014042</v>
      </c>
      <c r="AF34" s="109">
        <f t="shared" si="7"/>
        <v>97668.471100222843</v>
      </c>
      <c r="AG34" s="109">
        <f t="shared" si="7"/>
        <v>101382.90637339916</v>
      </c>
    </row>
    <row r="35" spans="1:33" x14ac:dyDescent="0.25">
      <c r="A35" s="561" t="s">
        <v>0</v>
      </c>
      <c r="B35" s="562"/>
      <c r="C35" s="558">
        <f>SUM(D35:J35,P35:V35)</f>
        <v>0</v>
      </c>
      <c r="D35" s="560">
        <f t="shared" ref="D35:J35" si="8">IF(ABS(P34-D34)&lt;0.001,0,ABS(P34-D34))</f>
        <v>0</v>
      </c>
      <c r="E35" s="560">
        <f t="shared" si="8"/>
        <v>0</v>
      </c>
      <c r="F35" s="560">
        <f t="shared" si="8"/>
        <v>0</v>
      </c>
      <c r="G35" s="560">
        <f t="shared" si="8"/>
        <v>0</v>
      </c>
      <c r="H35" s="560">
        <f t="shared" si="8"/>
        <v>0</v>
      </c>
      <c r="I35" s="560">
        <f t="shared" si="8"/>
        <v>0</v>
      </c>
      <c r="J35" s="560">
        <f t="shared" si="8"/>
        <v>0</v>
      </c>
      <c r="K35" s="568"/>
      <c r="L35" s="568"/>
      <c r="M35" s="568"/>
      <c r="N35" s="568"/>
      <c r="O35" s="568"/>
      <c r="P35" s="560">
        <f>IF(ABS(AA34*'Data 2009-15 (Real $2008)'!D145-P34)&lt;0.001,0,ABS(AA34*'Data 2009-15 (Real $2008)'!D145-P34))</f>
        <v>0</v>
      </c>
      <c r="Q35" s="560">
        <f>IF(ABS(AB34*'Data 2009-15 (Real $2008)'!E145-Q34)&lt;0.001,0,ABS(AB34*'Data 2009-15 (Real $2008)'!E145-Q34))</f>
        <v>0</v>
      </c>
      <c r="R35" s="560">
        <f>IF(ABS(AC34*'Data 2009-15 (Real $2008)'!F145-R34)&lt;0.001,0,ABS(AC34*'Data 2009-15 (Real $2008)'!F145-R34))</f>
        <v>0</v>
      </c>
      <c r="S35" s="560">
        <f>IF(ABS(AD34*'Data 2009-15 (Real $2008)'!G145-S34)&lt;0.001,0,ABS(AD34*'Data 2009-15 (Real $2008)'!G145-S34))</f>
        <v>0</v>
      </c>
      <c r="T35" s="560">
        <f>IF(ABS(AE34*'Data 2009-15 (Real $2008)'!H145-T34)&lt;0.001,0,ABS(AE34*'Data 2009-15 (Real $2008)'!H145-T34))</f>
        <v>0</v>
      </c>
      <c r="U35" s="560">
        <f>IF(ABS(AF34*'Data 2009-15 (Real $2008)'!I145-U34)&lt;0.001,0,ABS(AF34*'Data 2009-15 (Real $2008)'!I145-U34))</f>
        <v>0</v>
      </c>
      <c r="V35" s="560">
        <f>IF(ABS(AG34*'Data 2009-15 (Real $2008)'!J145-V34)&lt;0.001,0,ABS(AG34*'Data 2009-15 (Real $2008)'!J145-V34))</f>
        <v>0</v>
      </c>
    </row>
    <row r="36" spans="1:33" x14ac:dyDescent="0.25">
      <c r="A36" s="395"/>
      <c r="B36" s="395"/>
      <c r="C36" s="395"/>
      <c r="D36" s="506"/>
      <c r="E36" s="395"/>
      <c r="F36" s="395"/>
      <c r="G36" s="395"/>
      <c r="H36" s="395"/>
      <c r="I36" s="395"/>
      <c r="J36" s="395"/>
    </row>
    <row r="37" spans="1:33" x14ac:dyDescent="0.25">
      <c r="A37" s="57" t="s">
        <v>346</v>
      </c>
      <c r="B37" s="57"/>
      <c r="C37" s="360"/>
      <c r="D37" s="517">
        <f>'AMI RAB 2009-15'!D9*'Data 2009-15 (Real $2008)'!D145</f>
        <v>10284.30864411613</v>
      </c>
      <c r="E37" s="517">
        <f>'AMI RAB 2009-15'!E9*'Data 2009-15 (Real $2008)'!E145</f>
        <v>19603.33579370617</v>
      </c>
      <c r="F37" s="517">
        <f>'AMI RAB 2009-15'!F9*'Data 2009-15 (Real $2008)'!F145</f>
        <v>31096.635568248486</v>
      </c>
      <c r="G37" s="517">
        <f>'AMI RAB 2009-15'!G9*'Data 2009-15 (Real $2008)'!G145</f>
        <v>43876.569819318625</v>
      </c>
      <c r="H37" s="517">
        <f>'AMI RAB 2009-15'!H9*'Data 2009-15 (Real $2008)'!H145</f>
        <v>56801.104948295651</v>
      </c>
      <c r="I37" s="517">
        <f>'AMI RAB 2009-15'!I9*'Data 2009-15 (Real $2008)'!I145</f>
        <v>54284.612813085601</v>
      </c>
      <c r="J37" s="517">
        <f>'AMI RAB 2009-15'!J9*'Data 2009-15 (Real $2008)'!J145</f>
        <v>60926.334247890423</v>
      </c>
    </row>
    <row r="38" spans="1:33" x14ac:dyDescent="0.25">
      <c r="A38" s="57" t="s">
        <v>347</v>
      </c>
      <c r="B38" s="57"/>
      <c r="C38" s="360"/>
      <c r="D38" s="517">
        <f>'AMI RAB 2009-15'!D12*'Data 2009-15 (Real $2008)'!D144</f>
        <v>2442.809020479669</v>
      </c>
      <c r="E38" s="517">
        <f>'AMI RAB 2009-15'!E12*'Data 2009-15 (Real $2008)'!D145*'Data 2009-15 (Real $2008)'!E144</f>
        <v>1259.1216538154249</v>
      </c>
      <c r="F38" s="517">
        <f>'AMI RAB 2009-15'!F12*'Data 2009-15 (Real $2008)'!E145*'Data 2009-15 (Real $2008)'!F144</f>
        <v>4889.6799882080886</v>
      </c>
      <c r="G38" s="517">
        <f>'AMI RAB 2009-15'!G12*'Data 2009-15 (Real $2008)'!F145*'Data 2009-15 (Real $2008)'!G144</f>
        <v>9430.7232771516865</v>
      </c>
      <c r="H38" s="517">
        <f>'AMI RAB 2009-15'!H12*'Data 2009-15 (Real $2008)'!G145*'Data 2009-15 (Real $2008)'!H144</f>
        <v>7173.9280640775551</v>
      </c>
      <c r="I38" s="517">
        <f>'AMI RAB 2009-15'!I12*'Data 2009-15 (Real $2008)'!H145*'Data 2009-15 (Real $2008)'!I144</f>
        <v>8664.1314629689005</v>
      </c>
      <c r="J38" s="517">
        <f>'AMI RAB 2009-15'!J12*'Data 2009-15 (Real $2008)'!I145*'Data 2009-15 (Real $2008)'!J144</f>
        <v>9485.8531778068009</v>
      </c>
    </row>
    <row r="39" spans="1:33" x14ac:dyDescent="0.25">
      <c r="A39" s="57" t="s">
        <v>137</v>
      </c>
      <c r="B39" s="57"/>
      <c r="C39" s="360"/>
      <c r="D39" s="530">
        <f t="shared" ref="D39:J39" si="9">D37-D38</f>
        <v>7841.4996236364614</v>
      </c>
      <c r="E39" s="530">
        <f t="shared" si="9"/>
        <v>18344.214139890744</v>
      </c>
      <c r="F39" s="530">
        <f t="shared" si="9"/>
        <v>26206.955580040398</v>
      </c>
      <c r="G39" s="530">
        <f t="shared" si="9"/>
        <v>34445.846542166939</v>
      </c>
      <c r="H39" s="530">
        <f t="shared" si="9"/>
        <v>49627.176884218097</v>
      </c>
      <c r="I39" s="530">
        <f t="shared" si="9"/>
        <v>45620.481350116701</v>
      </c>
      <c r="J39" s="530">
        <f t="shared" si="9"/>
        <v>51440.481070083624</v>
      </c>
    </row>
    <row r="40" spans="1:33" x14ac:dyDescent="0.25">
      <c r="A40" s="395"/>
      <c r="B40" s="395"/>
      <c r="C40" s="395"/>
      <c r="D40" s="506"/>
      <c r="E40" s="395"/>
      <c r="F40" s="395"/>
      <c r="G40" s="395"/>
      <c r="H40" s="395"/>
      <c r="I40" s="395"/>
      <c r="J40" s="395"/>
    </row>
    <row r="41" spans="1:33" x14ac:dyDescent="0.25">
      <c r="A41" s="395"/>
      <c r="B41" s="395"/>
      <c r="C41" s="395"/>
      <c r="D41" s="506"/>
      <c r="E41" s="395"/>
      <c r="F41" s="395"/>
      <c r="G41" s="395"/>
      <c r="H41" s="395"/>
      <c r="I41" s="395"/>
      <c r="J41" s="395"/>
    </row>
    <row r="42" spans="1:33" x14ac:dyDescent="0.25">
      <c r="A42" s="395"/>
      <c r="B42" s="395"/>
      <c r="C42" s="395"/>
      <c r="D42" s="506"/>
      <c r="E42" s="395"/>
      <c r="F42" s="395"/>
      <c r="G42" s="395"/>
      <c r="H42" s="395"/>
      <c r="I42" s="395"/>
      <c r="J42" s="395"/>
    </row>
    <row r="43" spans="1:33" x14ac:dyDescent="0.25">
      <c r="A43" s="500" t="s">
        <v>333</v>
      </c>
      <c r="D43" s="391">
        <f>$D$21</f>
        <v>2009</v>
      </c>
      <c r="E43" s="391">
        <f>$E$21</f>
        <v>2010</v>
      </c>
      <c r="F43" s="391">
        <f>$F$21</f>
        <v>2011</v>
      </c>
      <c r="G43" s="391">
        <f>$G$21</f>
        <v>2012</v>
      </c>
      <c r="H43" s="391">
        <f>$H$21</f>
        <v>2013</v>
      </c>
      <c r="I43" s="391">
        <f>$I$21</f>
        <v>2014</v>
      </c>
      <c r="J43" s="391">
        <f>$J$21</f>
        <v>2015</v>
      </c>
    </row>
    <row r="45" spans="1:33" x14ac:dyDescent="0.25">
      <c r="A45" s="356" t="s">
        <v>141</v>
      </c>
      <c r="D45" s="511">
        <f>'Data 2009-15 (Real $2008)'!$C$139</f>
        <v>0.6</v>
      </c>
      <c r="E45" s="511">
        <f>'Data 2009-15 (Real $2008)'!$C$139</f>
        <v>0.6</v>
      </c>
      <c r="F45" s="511">
        <f>'Data 2009-15 (Real $2008)'!$C$139</f>
        <v>0.6</v>
      </c>
      <c r="G45" s="511">
        <f>'Data 2009-15 (Real $2008)'!$C$139</f>
        <v>0.6</v>
      </c>
      <c r="H45" s="511">
        <f>'Data 2009-15 (Real $2008)'!$C$139</f>
        <v>0.6</v>
      </c>
      <c r="I45" s="511">
        <f>'Data 2009-15 (Real $2008)'!$I$139</f>
        <v>0.6</v>
      </c>
      <c r="J45" s="511">
        <f>'Data 2009-15 (Real $2008)'!$I$139</f>
        <v>0.6</v>
      </c>
      <c r="N45" s="57"/>
    </row>
    <row r="46" spans="1:33" x14ac:dyDescent="0.25">
      <c r="A46" s="57" t="s">
        <v>84</v>
      </c>
      <c r="D46" s="513">
        <f>(1+$C$15)*(1+'Data 2009-15 (Real $2008)'!D144)-1</f>
        <v>0.11322326868484578</v>
      </c>
      <c r="E46" s="513">
        <f>(1+$C$15)*(1+'Data 2009-15 (Real $2008)'!E144)-1</f>
        <v>7.3778126800747579E-2</v>
      </c>
      <c r="F46" s="513">
        <f>(1+$C$15)*(1+'Data 2009-15 (Real $2008)'!F144)-1</f>
        <v>8.9964147943142114E-2</v>
      </c>
      <c r="G46" s="513">
        <f>(1+$C$15)*(1+'Data 2009-15 (Real $2008)'!G144)-1</f>
        <v>9.7728896172580848E-2</v>
      </c>
      <c r="H46" s="513">
        <f>(1+$C$15)*(1+'Data 2009-15 (Real $2008)'!H144)-1</f>
        <v>8.1654240618522556E-2</v>
      </c>
      <c r="I46" s="513">
        <f>(1+$I$15)*(1+'Data 2009-15 (Real $2008)'!I144)-1</f>
        <v>6.2288008776539838E-2</v>
      </c>
      <c r="J46" s="513">
        <f>(1+$I$15)*(1+'Data 2009-15 (Real $2008)'!J144)-1</f>
        <v>6.3812297783216509E-2</v>
      </c>
    </row>
    <row r="47" spans="1:33" x14ac:dyDescent="0.25">
      <c r="A47" s="356" t="s">
        <v>142</v>
      </c>
      <c r="D47" s="515">
        <f>'Data 2009-15 (Real $2008)'!$C$137</f>
        <v>0.3</v>
      </c>
      <c r="E47" s="515">
        <f>'Data 2009-15 (Real $2008)'!$C$137</f>
        <v>0.3</v>
      </c>
      <c r="F47" s="515">
        <f>'Data 2009-15 (Real $2008)'!$C$137</f>
        <v>0.3</v>
      </c>
      <c r="G47" s="515">
        <f>'Data 2009-15 (Real $2008)'!$C$137</f>
        <v>0.3</v>
      </c>
      <c r="H47" s="515">
        <f>'Data 2009-15 (Real $2008)'!$C$137</f>
        <v>0.3</v>
      </c>
      <c r="I47" s="515">
        <f>'Data 2009-15 (Real $2008)'!$I$137</f>
        <v>0.3</v>
      </c>
      <c r="J47" s="515">
        <f>'Data 2009-15 (Real $2008)'!$I$137</f>
        <v>0.3</v>
      </c>
    </row>
    <row r="48" spans="1:33" x14ac:dyDescent="0.25">
      <c r="A48" s="57" t="s">
        <v>17</v>
      </c>
      <c r="D48" s="514">
        <f>'Data 2009-15 (Real $2008)'!$C$138</f>
        <v>0.65</v>
      </c>
      <c r="E48" s="514">
        <f>'Data 2009-15 (Real $2008)'!$C$138</f>
        <v>0.65</v>
      </c>
      <c r="F48" s="514">
        <f>'Data 2009-15 (Real $2008)'!$C$138</f>
        <v>0.65</v>
      </c>
      <c r="G48" s="514">
        <f>'Data 2009-15 (Real $2008)'!$C$138</f>
        <v>0.65</v>
      </c>
      <c r="H48" s="514">
        <f>'Data 2009-15 (Real $2008)'!$C$138</f>
        <v>0.65</v>
      </c>
      <c r="I48" s="514">
        <f>'Data 2009-15 (Real $2008)'!$I$138</f>
        <v>0.25</v>
      </c>
      <c r="J48" s="514">
        <f>'Data 2009-15 (Real $2008)'!$I$138</f>
        <v>0.25</v>
      </c>
    </row>
    <row r="49" spans="1:10" x14ac:dyDescent="0.25">
      <c r="A49" s="57"/>
      <c r="D49" s="57"/>
      <c r="E49" s="57"/>
      <c r="F49" s="57"/>
      <c r="G49" s="57"/>
      <c r="H49" s="57"/>
      <c r="I49" s="57"/>
      <c r="J49" s="57"/>
    </row>
    <row r="50" spans="1:10" x14ac:dyDescent="0.25">
      <c r="A50" s="409" t="s">
        <v>297</v>
      </c>
      <c r="D50" s="391">
        <f>$D$21</f>
        <v>2009</v>
      </c>
      <c r="E50" s="391">
        <f>$E$21</f>
        <v>2010</v>
      </c>
      <c r="F50" s="391">
        <f>$F$21</f>
        <v>2011</v>
      </c>
      <c r="G50" s="391">
        <f>$G$21</f>
        <v>2012</v>
      </c>
      <c r="H50" s="391">
        <f>$H$21</f>
        <v>2013</v>
      </c>
      <c r="I50" s="391">
        <f>$I$21</f>
        <v>2014</v>
      </c>
      <c r="J50" s="391">
        <f>$J$21</f>
        <v>2015</v>
      </c>
    </row>
    <row r="51" spans="1:10" x14ac:dyDescent="0.25">
      <c r="A51" s="57" t="s">
        <v>293</v>
      </c>
      <c r="D51" s="83">
        <f>'Tariff Compliance'!D8</f>
        <v>37927.245233500005</v>
      </c>
      <c r="E51" s="83">
        <f>'Tariff Compliance'!E8</f>
        <v>65653.893745999987</v>
      </c>
      <c r="F51" s="83">
        <f>'Tariff Compliance'!F8</f>
        <v>73478.180732400011</v>
      </c>
      <c r="G51" s="83">
        <f>'Tariff Compliance'!G8</f>
        <v>83599.356</v>
      </c>
      <c r="H51" s="83">
        <f>'Tariff Compliance'!H8</f>
        <v>101332.753</v>
      </c>
      <c r="I51" s="83">
        <f>'Tariff Compliance'!I8</f>
        <v>123070.49353282094</v>
      </c>
      <c r="J51" s="83">
        <f>'Tariff Compliance'!J8</f>
        <v>160048.72172391039</v>
      </c>
    </row>
    <row r="52" spans="1:10" x14ac:dyDescent="0.25">
      <c r="A52" s="57" t="s">
        <v>4</v>
      </c>
      <c r="D52" s="82">
        <f>'AMI RAB 2009-15'!D7*'Data 2009-15 (Real $2008)'!D145</f>
        <v>0</v>
      </c>
      <c r="E52" s="82">
        <f>'AMI RAB 2009-15'!E7*'Data 2009-15 (Real $2008)'!E145</f>
        <v>0</v>
      </c>
      <c r="F52" s="82">
        <f>'AMI RAB 2009-15'!F7*'Data 2009-15 (Real $2008)'!F145</f>
        <v>0</v>
      </c>
      <c r="G52" s="82">
        <f>'AMI RAB 2009-15'!G7*'Data 2009-15 (Real $2008)'!G145</f>
        <v>0</v>
      </c>
      <c r="H52" s="82">
        <f>'AMI RAB 2009-15'!H7*'Data 2009-15 (Real $2008)'!H145</f>
        <v>0</v>
      </c>
      <c r="I52" s="82">
        <f>'AMI RAB 2009-15'!I7*'Data 2009-15 (Real $2008)'!I145</f>
        <v>0</v>
      </c>
      <c r="J52" s="82">
        <f>'AMI RAB 2009-15'!J7*'Data 2009-15 (Real $2008)'!J145</f>
        <v>0</v>
      </c>
    </row>
    <row r="53" spans="1:10" x14ac:dyDescent="0.25">
      <c r="A53" s="57" t="s">
        <v>126</v>
      </c>
      <c r="D53" s="82">
        <f>'Data 2009-15 (Real $2008)'!D55/10^3*'Data 2009-15 (Real $2008)'!D145</f>
        <v>27133.020450744909</v>
      </c>
      <c r="E53" s="82">
        <f>'Data 2009-15 (Real $2008)'!E55/10^3*'Data 2009-15 (Real $2008)'!E145</f>
        <v>39809.474162623126</v>
      </c>
      <c r="F53" s="82">
        <f>'Data 2009-15 (Real $2008)'!F55/10^3*'Data 2009-15 (Real $2008)'!F145</f>
        <v>42811.168404355973</v>
      </c>
      <c r="G53" s="82">
        <f>'Data 2009-15 (Real $2008)'!G55/10^3*'Data 2009-15 (Real $2008)'!G145</f>
        <v>40190.981149277504</v>
      </c>
      <c r="H53" s="82">
        <f>'Data 2009-15 (Real $2008)'!H55/10^3*'Data 2009-15 (Real $2008)'!H145</f>
        <v>32545.055</v>
      </c>
      <c r="I53" s="82">
        <f>'Data 2009-15 (Real $2008)'!I55/10^3*'Data 2009-15 (Real $2008)'!I145</f>
        <v>40265.405976160175</v>
      </c>
      <c r="J53" s="82">
        <f>'Data 2009-15 (Real $2008)'!J55/10^3*'Data 2009-15 (Real $2008)'!J145</f>
        <v>40209.151459006775</v>
      </c>
    </row>
    <row r="54" spans="1:10" x14ac:dyDescent="0.25">
      <c r="A54" s="57" t="s">
        <v>127</v>
      </c>
      <c r="D54" s="82">
        <f>'AMI Tax Depn 2009-15'!D56</f>
        <v>17924.793557809913</v>
      </c>
      <c r="E54" s="82">
        <f>'AMI Tax Depn 2009-15'!E56</f>
        <v>34884.310466703391</v>
      </c>
      <c r="F54" s="82">
        <f>'AMI Tax Depn 2009-15'!F56</f>
        <v>58635.296511139466</v>
      </c>
      <c r="G54" s="82">
        <f>'AMI Tax Depn 2009-15'!G56</f>
        <v>81911.417254297587</v>
      </c>
      <c r="H54" s="82">
        <f>'AMI Tax Depn 2009-15'!H56</f>
        <v>97792.91641196399</v>
      </c>
      <c r="I54" s="82">
        <f>'AMI Tax Depn 2009-15'!I56</f>
        <v>94802.31598010131</v>
      </c>
      <c r="J54" s="82">
        <f>'AMI Tax Depn 2009-15'!J56</f>
        <v>82137.223945447055</v>
      </c>
    </row>
    <row r="55" spans="1:10" x14ac:dyDescent="0.25">
      <c r="A55" s="57" t="s">
        <v>128</v>
      </c>
      <c r="D55" s="82">
        <f>'AMI RAB 2009-15'!D12*D45*'Data 2009-15 (Real $2008)'!D145*D46</f>
        <v>3497.5473322716857</v>
      </c>
      <c r="E55" s="82">
        <f>'AMI RAB 2009-15'!E12*E45*'Data 2009-15 (Real $2008)'!E145*E46</f>
        <v>4474.9155439210663</v>
      </c>
      <c r="F55" s="82">
        <f>'AMI RAB 2009-15'!F12*F45*'Data 2009-15 (Real $2008)'!F145*F46</f>
        <v>9731.994689981937</v>
      </c>
      <c r="G55" s="82">
        <f>'AMI RAB 2009-15'!G12*G45*'Data 2009-15 (Real $2008)'!G145*G46</f>
        <v>16263.418934923968</v>
      </c>
      <c r="H55" s="82">
        <f>'AMI RAB 2009-15'!H12*H45*'Data 2009-15 (Real $2008)'!H145*H46</f>
        <v>17889.771539819838</v>
      </c>
      <c r="I55" s="82">
        <f>'AMI RAB 2009-15'!I12*I45*'Data 2009-15 (Real $2008)'!I145*I46</f>
        <v>15307.046085566262</v>
      </c>
      <c r="J55" s="82">
        <f>'AMI RAB 2009-15'!J12*J45*'Data 2009-15 (Real $2008)'!J145*J46</f>
        <v>16101.354733087981</v>
      </c>
    </row>
    <row r="56" spans="1:10" x14ac:dyDescent="0.25">
      <c r="A56" s="356" t="s">
        <v>129</v>
      </c>
      <c r="D56" s="82">
        <f>IF('Offset of Costs and Rev 2006-08'!F106&lt;0,-'Offset of Costs and Rev 2006-08'!F106,0)</f>
        <v>0</v>
      </c>
      <c r="E56" s="82">
        <f t="shared" ref="E56:J56" si="10">IF(D57&lt;0,-D57,0)</f>
        <v>10628.116107326503</v>
      </c>
      <c r="F56" s="82">
        <f t="shared" si="10"/>
        <v>24142.922534574085</v>
      </c>
      <c r="G56" s="82">
        <f t="shared" si="10"/>
        <v>61843.201407651446</v>
      </c>
      <c r="H56" s="82">
        <f t="shared" si="10"/>
        <v>116609.66274615051</v>
      </c>
      <c r="I56" s="82">
        <f t="shared" si="10"/>
        <v>163504.65269793433</v>
      </c>
      <c r="J56" s="82">
        <f t="shared" si="10"/>
        <v>190808.92720694112</v>
      </c>
    </row>
    <row r="57" spans="1:10" x14ac:dyDescent="0.25">
      <c r="A57" s="57" t="s">
        <v>151</v>
      </c>
      <c r="D57" s="82">
        <f t="shared" ref="D57:J57" si="11">SUM(D51:D52)-SUM(D53:D56)</f>
        <v>-10628.116107326503</v>
      </c>
      <c r="E57" s="82">
        <f t="shared" si="11"/>
        <v>-24142.922534574085</v>
      </c>
      <c r="F57" s="82">
        <f t="shared" si="11"/>
        <v>-61843.201407651446</v>
      </c>
      <c r="G57" s="82">
        <f t="shared" si="11"/>
        <v>-116609.66274615051</v>
      </c>
      <c r="H57" s="82">
        <f t="shared" si="11"/>
        <v>-163504.65269793433</v>
      </c>
      <c r="I57" s="82">
        <f t="shared" si="11"/>
        <v>-190808.92720694112</v>
      </c>
      <c r="J57" s="82">
        <f t="shared" si="11"/>
        <v>-169207.93562057256</v>
      </c>
    </row>
    <row r="58" spans="1:10" x14ac:dyDescent="0.25">
      <c r="A58" s="57" t="s">
        <v>152</v>
      </c>
      <c r="D58" s="82">
        <f t="shared" ref="D58:J58" si="12">IF(D57&lt;0,0,D57*D47)</f>
        <v>0</v>
      </c>
      <c r="E58" s="82">
        <f t="shared" si="12"/>
        <v>0</v>
      </c>
      <c r="F58" s="82">
        <f t="shared" si="12"/>
        <v>0</v>
      </c>
      <c r="G58" s="82">
        <f t="shared" si="12"/>
        <v>0</v>
      </c>
      <c r="H58" s="82">
        <f t="shared" si="12"/>
        <v>0</v>
      </c>
      <c r="I58" s="82">
        <f t="shared" si="12"/>
        <v>0</v>
      </c>
      <c r="J58" s="82">
        <f t="shared" si="12"/>
        <v>0</v>
      </c>
    </row>
    <row r="59" spans="1:10" x14ac:dyDescent="0.25">
      <c r="A59" s="57" t="s">
        <v>132</v>
      </c>
      <c r="D59" s="82">
        <f t="shared" ref="D59:J59" si="13">D58*D48</f>
        <v>0</v>
      </c>
      <c r="E59" s="82">
        <f t="shared" si="13"/>
        <v>0</v>
      </c>
      <c r="F59" s="82">
        <f t="shared" si="13"/>
        <v>0</v>
      </c>
      <c r="G59" s="82">
        <f t="shared" si="13"/>
        <v>0</v>
      </c>
      <c r="H59" s="82">
        <f t="shared" si="13"/>
        <v>0</v>
      </c>
      <c r="I59" s="82">
        <f t="shared" si="13"/>
        <v>0</v>
      </c>
      <c r="J59" s="82">
        <f t="shared" si="13"/>
        <v>0</v>
      </c>
    </row>
    <row r="60" spans="1:10" x14ac:dyDescent="0.25">
      <c r="A60" s="57" t="s">
        <v>352</v>
      </c>
      <c r="D60" s="512">
        <f t="shared" ref="D60:J60" si="14">D58-D59</f>
        <v>0</v>
      </c>
      <c r="E60" s="512">
        <f t="shared" si="14"/>
        <v>0</v>
      </c>
      <c r="F60" s="512">
        <f t="shared" si="14"/>
        <v>0</v>
      </c>
      <c r="G60" s="512">
        <f t="shared" si="14"/>
        <v>0</v>
      </c>
      <c r="H60" s="512">
        <f t="shared" si="14"/>
        <v>0</v>
      </c>
      <c r="I60" s="512">
        <f t="shared" si="14"/>
        <v>0</v>
      </c>
      <c r="J60" s="512">
        <f t="shared" si="14"/>
        <v>0</v>
      </c>
    </row>
    <row r="61" spans="1:10" x14ac:dyDescent="0.25">
      <c r="A61" s="57"/>
      <c r="D61" s="57"/>
      <c r="E61" s="57"/>
      <c r="F61" s="57"/>
      <c r="G61" s="57"/>
      <c r="H61" s="57"/>
      <c r="I61" s="57"/>
      <c r="J61" s="57"/>
    </row>
    <row r="62" spans="1:10" x14ac:dyDescent="0.25">
      <c r="D62" s="391">
        <f>$D$21</f>
        <v>2009</v>
      </c>
      <c r="E62" s="391">
        <f>$E$21</f>
        <v>2010</v>
      </c>
      <c r="F62" s="391">
        <f>$F$21</f>
        <v>2011</v>
      </c>
      <c r="G62" s="391">
        <f>$G$21</f>
        <v>2012</v>
      </c>
      <c r="H62" s="391">
        <f>$H$21</f>
        <v>2013</v>
      </c>
      <c r="I62" s="391">
        <f>$I$21</f>
        <v>2014</v>
      </c>
      <c r="J62" s="391">
        <f>$J$21</f>
        <v>2015</v>
      </c>
    </row>
    <row r="63" spans="1:10" x14ac:dyDescent="0.25">
      <c r="A63" s="409" t="s">
        <v>289</v>
      </c>
    </row>
    <row r="64" spans="1:10" ht="13.8" thickBot="1" x14ac:dyDescent="0.3">
      <c r="A64" s="57" t="s">
        <v>294</v>
      </c>
      <c r="D64" s="567">
        <f>D60/'Data 2009-15 (Real $2008)'!D145</f>
        <v>0</v>
      </c>
      <c r="E64" s="567">
        <f>E60/'Data 2009-15 (Real $2008)'!E145</f>
        <v>0</v>
      </c>
      <c r="F64" s="567">
        <f>F60/'Data 2009-15 (Real $2008)'!F145</f>
        <v>0</v>
      </c>
      <c r="G64" s="567">
        <f>G60/'Data 2009-15 (Real $2008)'!G145</f>
        <v>0</v>
      </c>
      <c r="H64" s="567">
        <f>H60/'Data 2009-15 (Real $2008)'!H145</f>
        <v>0</v>
      </c>
      <c r="I64" s="567">
        <f>I60/'Data 2009-15 (Real $2008)'!I145</f>
        <v>0</v>
      </c>
      <c r="J64" s="567">
        <f>J60/'Data 2009-15 (Real $2008)'!J145</f>
        <v>0</v>
      </c>
    </row>
    <row r="65" spans="2:3" ht="13.8" thickTop="1" x14ac:dyDescent="0.25">
      <c r="B65" s="360"/>
      <c r="C65" s="360"/>
    </row>
  </sheetData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zoomScale="85" workbookViewId="0">
      <pane ySplit="1" topLeftCell="A2" activePane="bottomLeft" state="frozen"/>
      <selection pane="bottomLeft" activeCell="B2" sqref="B2"/>
    </sheetView>
  </sheetViews>
  <sheetFormatPr defaultColWidth="9.109375" defaultRowHeight="13.2" x14ac:dyDescent="0.25"/>
  <cols>
    <col min="1" max="1" width="53" style="360" customWidth="1"/>
    <col min="2" max="2" width="9.5546875" style="365" customWidth="1"/>
    <col min="3" max="3" width="8.44140625" style="365" customWidth="1"/>
    <col min="4" max="4" width="10.33203125" style="360" bestFit="1" customWidth="1"/>
    <col min="5" max="16384" width="9.109375" style="360"/>
  </cols>
  <sheetData>
    <row r="1" spans="1:27" x14ac:dyDescent="0.25">
      <c r="A1" s="555" t="str">
        <f>'Data 2006-08'!$A$1</f>
        <v>SP AusNet</v>
      </c>
      <c r="B1" s="495" t="s">
        <v>0</v>
      </c>
      <c r="C1" s="496" t="str">
        <f>IF(SUM(C59)&lt;0.001,"Ok","Error")</f>
        <v>Ok</v>
      </c>
      <c r="D1" s="468">
        <v>2009</v>
      </c>
      <c r="E1" s="468">
        <v>2010</v>
      </c>
      <c r="F1" s="468">
        <v>2011</v>
      </c>
      <c r="G1" s="468">
        <v>2012</v>
      </c>
      <c r="H1" s="468">
        <v>2013</v>
      </c>
      <c r="I1" s="468">
        <v>2014</v>
      </c>
      <c r="J1" s="468">
        <v>2015</v>
      </c>
      <c r="K1" s="468">
        <v>2016</v>
      </c>
      <c r="L1" s="468">
        <v>2017</v>
      </c>
      <c r="M1" s="468">
        <v>2018</v>
      </c>
      <c r="N1" s="468">
        <v>2019</v>
      </c>
      <c r="O1" s="468">
        <v>2020</v>
      </c>
      <c r="P1" s="468">
        <v>2021</v>
      </c>
      <c r="Q1" s="468">
        <v>2022</v>
      </c>
      <c r="R1" s="468">
        <v>2023</v>
      </c>
      <c r="S1" s="468">
        <v>2024</v>
      </c>
      <c r="T1" s="468">
        <v>2025</v>
      </c>
      <c r="U1" s="468">
        <v>2026</v>
      </c>
      <c r="V1" s="468">
        <v>2027</v>
      </c>
      <c r="W1" s="468">
        <v>2028</v>
      </c>
      <c r="X1" s="468">
        <v>2029</v>
      </c>
      <c r="Y1" s="468">
        <v>2030</v>
      </c>
      <c r="Z1" s="468">
        <v>2031</v>
      </c>
      <c r="AA1" s="468">
        <v>2032</v>
      </c>
    </row>
    <row r="2" spans="1:27" x14ac:dyDescent="0.25">
      <c r="A2" s="268"/>
      <c r="B2" s="278"/>
      <c r="C2" s="784">
        <f>C59</f>
        <v>2.7387159207137302E-10</v>
      </c>
      <c r="D2" s="497"/>
      <c r="E2" s="422"/>
      <c r="F2" s="422"/>
      <c r="G2" s="359"/>
      <c r="H2" s="359"/>
      <c r="I2" s="359"/>
      <c r="J2" s="359"/>
      <c r="K2" s="498"/>
      <c r="L2" s="498"/>
      <c r="M2" s="498"/>
      <c r="N2" s="498"/>
    </row>
    <row r="3" spans="1:27" s="84" customFormat="1" x14ac:dyDescent="0.25">
      <c r="A3" s="74" t="s">
        <v>330</v>
      </c>
      <c r="B3" s="433"/>
      <c r="C3" s="433"/>
    </row>
    <row r="4" spans="1:27" s="84" customFormat="1" x14ac:dyDescent="0.25">
      <c r="B4" s="85"/>
      <c r="C4" s="85"/>
    </row>
    <row r="5" spans="1:27" s="84" customFormat="1" x14ac:dyDescent="0.25">
      <c r="A5" s="74" t="s">
        <v>331</v>
      </c>
      <c r="B5" s="433"/>
      <c r="C5" s="433"/>
      <c r="D5" s="490" t="s">
        <v>187</v>
      </c>
      <c r="E5" s="486"/>
      <c r="F5" s="486"/>
    </row>
    <row r="6" spans="1:27" s="84" customFormat="1" x14ac:dyDescent="0.25">
      <c r="A6" s="84" t="str">
        <f>'Data 2009-15 (Real $2008)'!A$162</f>
        <v>Meters and transformers (Group 1) (Unit cost &lt; $1,000)</v>
      </c>
      <c r="B6" s="85"/>
      <c r="C6" s="85"/>
      <c r="D6" s="487">
        <f>'Data 2009-15 (Real $2008)'!C162</f>
        <v>0.375</v>
      </c>
      <c r="E6" s="486"/>
      <c r="F6" s="486"/>
    </row>
    <row r="7" spans="1:27" s="84" customFormat="1" x14ac:dyDescent="0.25">
      <c r="A7" s="84" t="str">
        <f>'Data 2009-15 (Real $2008)'!A$163</f>
        <v>Meters and transformers (Group 2) (Unit cost =&gt; $1,000)</v>
      </c>
      <c r="B7" s="85"/>
      <c r="C7" s="85"/>
      <c r="D7" s="488">
        <f>'Data 2009-15 (Real $2008)'!C163</f>
        <v>0.06</v>
      </c>
      <c r="E7" s="486"/>
      <c r="F7" s="486"/>
    </row>
    <row r="8" spans="1:27" s="84" customFormat="1" x14ac:dyDescent="0.25">
      <c r="A8" s="84" t="str">
        <f>'Data 2009-15 (Real $2008)'!A$164</f>
        <v>IT</v>
      </c>
      <c r="B8" s="85"/>
      <c r="C8" s="85"/>
      <c r="D8" s="488">
        <f>'Data 2009-15 (Real $2008)'!C164</f>
        <v>0.4</v>
      </c>
      <c r="E8" s="486"/>
      <c r="F8" s="486"/>
    </row>
    <row r="9" spans="1:27" s="84" customFormat="1" x14ac:dyDescent="0.25">
      <c r="A9" s="84" t="str">
        <f>'Data 2009-15 (Real $2008)'!A$165</f>
        <v>Communications</v>
      </c>
      <c r="B9" s="108"/>
      <c r="C9" s="108"/>
      <c r="D9" s="488">
        <f>'Data 2009-15 (Real $2008)'!C165</f>
        <v>0.21428571428571427</v>
      </c>
      <c r="E9" s="486"/>
      <c r="F9" s="486"/>
    </row>
    <row r="10" spans="1:27" s="84" customFormat="1" x14ac:dyDescent="0.25">
      <c r="A10" s="87" t="str">
        <f>'Data 2009-15 (Real $2008)'!A$166</f>
        <v>Other</v>
      </c>
      <c r="B10" s="108"/>
      <c r="C10" s="108"/>
      <c r="D10" s="489">
        <f>'Data 2009-15 (Real $2008)'!C166</f>
        <v>0.1764705882352941</v>
      </c>
      <c r="E10" s="486"/>
      <c r="F10" s="486"/>
    </row>
    <row r="11" spans="1:27" s="84" customFormat="1" x14ac:dyDescent="0.25">
      <c r="B11" s="85"/>
      <c r="C11" s="85"/>
    </row>
    <row r="12" spans="1:27" s="84" customFormat="1" x14ac:dyDescent="0.25">
      <c r="B12" s="85"/>
      <c r="C12" s="85"/>
    </row>
    <row r="13" spans="1:27" s="84" customFormat="1" x14ac:dyDescent="0.25">
      <c r="A13" s="74" t="s">
        <v>183</v>
      </c>
      <c r="B13" s="433"/>
      <c r="C13" s="433"/>
      <c r="D13" s="468">
        <f t="shared" ref="D13:AA13" si="0">D$1</f>
        <v>2009</v>
      </c>
      <c r="E13" s="468">
        <f t="shared" si="0"/>
        <v>2010</v>
      </c>
      <c r="F13" s="468">
        <f t="shared" si="0"/>
        <v>2011</v>
      </c>
      <c r="G13" s="468">
        <f t="shared" si="0"/>
        <v>2012</v>
      </c>
      <c r="H13" s="468">
        <f t="shared" si="0"/>
        <v>2013</v>
      </c>
      <c r="I13" s="468">
        <f t="shared" si="0"/>
        <v>2014</v>
      </c>
      <c r="J13" s="468">
        <f t="shared" si="0"/>
        <v>2015</v>
      </c>
      <c r="K13" s="468">
        <f t="shared" si="0"/>
        <v>2016</v>
      </c>
      <c r="L13" s="468">
        <f t="shared" si="0"/>
        <v>2017</v>
      </c>
      <c r="M13" s="468">
        <f t="shared" si="0"/>
        <v>2018</v>
      </c>
      <c r="N13" s="468">
        <f t="shared" si="0"/>
        <v>2019</v>
      </c>
      <c r="O13" s="468">
        <f t="shared" si="0"/>
        <v>2020</v>
      </c>
      <c r="P13" s="468">
        <f t="shared" si="0"/>
        <v>2021</v>
      </c>
      <c r="Q13" s="468">
        <f t="shared" si="0"/>
        <v>2022</v>
      </c>
      <c r="R13" s="468">
        <f t="shared" si="0"/>
        <v>2023</v>
      </c>
      <c r="S13" s="468">
        <f t="shared" si="0"/>
        <v>2024</v>
      </c>
      <c r="T13" s="468">
        <f t="shared" si="0"/>
        <v>2025</v>
      </c>
      <c r="U13" s="468">
        <f t="shared" si="0"/>
        <v>2026</v>
      </c>
      <c r="V13" s="468">
        <f t="shared" si="0"/>
        <v>2027</v>
      </c>
      <c r="W13" s="468">
        <f t="shared" si="0"/>
        <v>2028</v>
      </c>
      <c r="X13" s="468">
        <f t="shared" si="0"/>
        <v>2029</v>
      </c>
      <c r="Y13" s="468">
        <f t="shared" si="0"/>
        <v>2030</v>
      </c>
      <c r="Z13" s="468">
        <f t="shared" si="0"/>
        <v>2031</v>
      </c>
      <c r="AA13" s="468">
        <f t="shared" si="0"/>
        <v>2032</v>
      </c>
    </row>
    <row r="14" spans="1:27" s="84" customFormat="1" x14ac:dyDescent="0.25">
      <c r="A14" s="409" t="s">
        <v>297</v>
      </c>
      <c r="B14" s="457"/>
      <c r="C14" s="457"/>
      <c r="D14" s="485"/>
      <c r="E14" s="485"/>
      <c r="F14" s="485"/>
    </row>
    <row r="15" spans="1:27" s="84" customFormat="1" x14ac:dyDescent="0.25">
      <c r="A15" s="101" t="s">
        <v>326</v>
      </c>
      <c r="B15" s="457"/>
      <c r="C15" s="457"/>
      <c r="D15" s="485"/>
      <c r="E15" s="485"/>
      <c r="F15" s="485"/>
    </row>
    <row r="16" spans="1:27" s="84" customFormat="1" x14ac:dyDescent="0.25">
      <c r="A16" s="84" t="str">
        <f>'Data 2009-15 (Real $2008)'!A$162</f>
        <v>Meters and transformers (Group 1) (Unit cost &lt; $1,000)</v>
      </c>
      <c r="B16" s="85"/>
      <c r="C16" s="85"/>
      <c r="D16" s="82">
        <f>'Data 2009-15 (Real $2008)'!D22*'Data 2009-15 (Real $2008)'!D$145/10^3</f>
        <v>11248.508965365303</v>
      </c>
      <c r="E16" s="82">
        <f>'Data 2009-15 (Real $2008)'!E22*'Data 2009-15 (Real $2008)'!E$145/10^3</f>
        <v>41263.816110000458</v>
      </c>
      <c r="F16" s="82">
        <f>'Data 2009-15 (Real $2008)'!F22*'Data 2009-15 (Real $2008)'!F$145/10^3</f>
        <v>80503</v>
      </c>
      <c r="G16" s="82">
        <f>'Data 2009-15 (Real $2008)'!G22*'Data 2009-15 (Real $2008)'!G$145/10^3</f>
        <v>91362.024891847381</v>
      </c>
      <c r="H16" s="82">
        <f>'Data 2009-15 (Real $2008)'!H22*'Data 2009-15 (Real $2008)'!H$145/10^3</f>
        <v>94519.245480000012</v>
      </c>
      <c r="I16" s="82">
        <f>'Data 2009-15 (Real $2008)'!I22*'Data 2009-15 (Real $2008)'!I$145/10^3</f>
        <v>38190.491999999998</v>
      </c>
      <c r="J16" s="82">
        <f>'Data 2009-15 (Real $2008)'!J22*'Data 2009-15 (Real $2008)'!J$145/10^3</f>
        <v>6287.0034204948915</v>
      </c>
      <c r="K16" s="481"/>
      <c r="L16" s="481"/>
      <c r="M16" s="481"/>
      <c r="N16" s="481"/>
      <c r="O16" s="481"/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7" spans="1:27" s="84" customFormat="1" x14ac:dyDescent="0.25">
      <c r="A17" s="84" t="str">
        <f>'Data 2009-15 (Real $2008)'!A$163</f>
        <v>Meters and transformers (Group 2) (Unit cost =&gt; $1,000)</v>
      </c>
      <c r="B17" s="85"/>
      <c r="C17" s="85"/>
      <c r="D17" s="82">
        <f>'Data 2009-15 (Real $2008)'!D23*'Data 2009-15 (Real $2008)'!D$145/10^3</f>
        <v>0</v>
      </c>
      <c r="E17" s="82">
        <f>'Data 2009-15 (Real $2008)'!E23*'Data 2009-15 (Real $2008)'!E$145/10^3</f>
        <v>0</v>
      </c>
      <c r="F17" s="82">
        <f>'Data 2009-15 (Real $2008)'!F23*'Data 2009-15 (Real $2008)'!F$145/10^3</f>
        <v>0</v>
      </c>
      <c r="G17" s="82">
        <f>'Data 2009-15 (Real $2008)'!G23*'Data 2009-15 (Real $2008)'!G$145/10^3</f>
        <v>0</v>
      </c>
      <c r="H17" s="82">
        <f>'Data 2009-15 (Real $2008)'!H23*'Data 2009-15 (Real $2008)'!H$145/10^3</f>
        <v>0</v>
      </c>
      <c r="I17" s="82">
        <f>'Data 2009-15 (Real $2008)'!I23*'Data 2009-15 (Real $2008)'!I$145/10^3</f>
        <v>0</v>
      </c>
      <c r="J17" s="82">
        <f>'Data 2009-15 (Real $2008)'!J23*'Data 2009-15 (Real $2008)'!J$145/10^3</f>
        <v>0</v>
      </c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</row>
    <row r="18" spans="1:27" s="84" customFormat="1" x14ac:dyDescent="0.25">
      <c r="A18" s="84" t="str">
        <f>'Data 2009-15 (Real $2008)'!A$164</f>
        <v>IT</v>
      </c>
      <c r="B18" s="85"/>
      <c r="C18" s="85"/>
      <c r="D18" s="82">
        <f>'Data 2009-15 (Real $2008)'!D24*'Data 2009-15 (Real $2008)'!D$145/10^3</f>
        <v>26456.656351864352</v>
      </c>
      <c r="E18" s="82">
        <f>'Data 2009-15 (Real $2008)'!E24*'Data 2009-15 (Real $2008)'!E$145/10^3</f>
        <v>38827.401623737562</v>
      </c>
      <c r="F18" s="82">
        <f>'Data 2009-15 (Real $2008)'!F24*'Data 2009-15 (Real $2008)'!F$145/10^3</f>
        <v>23232.071948036104</v>
      </c>
      <c r="G18" s="82">
        <f>'Data 2009-15 (Real $2008)'!G24*'Data 2009-15 (Real $2008)'!G$145/10^3</f>
        <v>24642.546559058472</v>
      </c>
      <c r="H18" s="82">
        <f>'Data 2009-15 (Real $2008)'!H24*'Data 2009-15 (Real $2008)'!H$145/10^3</f>
        <v>9036.4600667708892</v>
      </c>
      <c r="I18" s="82">
        <f>'Data 2009-15 (Real $2008)'!I24*'Data 2009-15 (Real $2008)'!I$145/10^3</f>
        <v>17692.549152275078</v>
      </c>
      <c r="J18" s="82">
        <f>'Data 2009-15 (Real $2008)'!J24*'Data 2009-15 (Real $2008)'!J$145/10^3</f>
        <v>41980.031686459115</v>
      </c>
      <c r="K18" s="481"/>
      <c r="L18" s="481"/>
      <c r="M18" s="481"/>
      <c r="N18" s="481"/>
      <c r="O18" s="481"/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1:27" s="84" customFormat="1" x14ac:dyDescent="0.25">
      <c r="A19" s="84" t="str">
        <f>'Data 2009-15 (Real $2008)'!A$165</f>
        <v>Communications</v>
      </c>
      <c r="B19" s="108"/>
      <c r="C19" s="108"/>
      <c r="D19" s="82">
        <f>'Data 2009-15 (Real $2008)'!D25*'Data 2009-15 (Real $2008)'!D$145/10^3</f>
        <v>888.55508999999995</v>
      </c>
      <c r="E19" s="82">
        <f>'Data 2009-15 (Real $2008)'!E25*'Data 2009-15 (Real $2008)'!E$145/10^3</f>
        <v>8756.8663000000015</v>
      </c>
      <c r="F19" s="82">
        <f>'Data 2009-15 (Real $2008)'!F25*'Data 2009-15 (Real $2008)'!F$145/10^3</f>
        <v>8959.3642199999995</v>
      </c>
      <c r="G19" s="82">
        <f>'Data 2009-15 (Real $2008)'!G25*'Data 2009-15 (Real $2008)'!G$145/10^3</f>
        <v>24833.830630000004</v>
      </c>
      <c r="H19" s="82">
        <f>'Data 2009-15 (Real $2008)'!H25*'Data 2009-15 (Real $2008)'!H$145/10^3</f>
        <v>18817.796080000004</v>
      </c>
      <c r="I19" s="82">
        <f>'Data 2009-15 (Real $2008)'!I25*'Data 2009-15 (Real $2008)'!I$145/10^3</f>
        <v>4477.8185327962137</v>
      </c>
      <c r="J19" s="82">
        <f>'Data 2009-15 (Real $2008)'!J25*'Data 2009-15 (Real $2008)'!J$145/10^3</f>
        <v>9464.005989281799</v>
      </c>
      <c r="K19" s="481"/>
      <c r="L19" s="481"/>
      <c r="M19" s="481"/>
      <c r="N19" s="481"/>
      <c r="O19" s="481"/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</row>
    <row r="20" spans="1:27" s="84" customFormat="1" x14ac:dyDescent="0.25">
      <c r="A20" s="87" t="str">
        <f>'Data 2009-15 (Real $2008)'!A$166</f>
        <v>Other</v>
      </c>
      <c r="B20" s="108"/>
      <c r="C20" s="108"/>
      <c r="D20" s="82">
        <f>'Data 2009-15 (Real $2008)'!D26*'Data 2009-15 (Real $2008)'!D$145/10^3</f>
        <v>0</v>
      </c>
      <c r="E20" s="82">
        <f>'Data 2009-15 (Real $2008)'!E26*'Data 2009-15 (Real $2008)'!E$145/10^3</f>
        <v>0</v>
      </c>
      <c r="F20" s="82">
        <f>'Data 2009-15 (Real $2008)'!F26*'Data 2009-15 (Real $2008)'!F$145/10^3</f>
        <v>0</v>
      </c>
      <c r="G20" s="82">
        <f>'Data 2009-15 (Real $2008)'!G26*'Data 2009-15 (Real $2008)'!G$145/10^3</f>
        <v>0</v>
      </c>
      <c r="H20" s="82">
        <f>'Data 2009-15 (Real $2008)'!H26*'Data 2009-15 (Real $2008)'!H$145/10^3</f>
        <v>0</v>
      </c>
      <c r="I20" s="82">
        <f>'Data 2009-15 (Real $2008)'!I26*'Data 2009-15 (Real $2008)'!I$145/10^3</f>
        <v>0</v>
      </c>
      <c r="J20" s="82">
        <f>'Data 2009-15 (Real $2008)'!J26*'Data 2009-15 (Real $2008)'!J$145/10^3</f>
        <v>0</v>
      </c>
      <c r="K20" s="481"/>
      <c r="L20" s="481"/>
      <c r="M20" s="481"/>
      <c r="N20" s="481"/>
      <c r="O20" s="481"/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</row>
    <row r="21" spans="1:27" s="84" customFormat="1" x14ac:dyDescent="0.25">
      <c r="A21" s="87"/>
      <c r="B21" s="108"/>
      <c r="C21" s="108"/>
      <c r="D21" s="109">
        <f t="shared" ref="D21:J21" si="1">SUM(D16:D19)</f>
        <v>38593.720407229659</v>
      </c>
      <c r="E21" s="109">
        <f t="shared" si="1"/>
        <v>88848.084033738007</v>
      </c>
      <c r="F21" s="109">
        <f t="shared" si="1"/>
        <v>112694.4361680361</v>
      </c>
      <c r="G21" s="109">
        <f t="shared" si="1"/>
        <v>140838.40208090586</v>
      </c>
      <c r="H21" s="109">
        <f t="shared" si="1"/>
        <v>122373.5016267709</v>
      </c>
      <c r="I21" s="109">
        <f t="shared" si="1"/>
        <v>60360.859685071293</v>
      </c>
      <c r="J21" s="109">
        <f t="shared" si="1"/>
        <v>57731.0410962358</v>
      </c>
      <c r="K21" s="481"/>
      <c r="L21" s="481"/>
      <c r="M21" s="481"/>
      <c r="N21" s="481"/>
      <c r="O21" s="481"/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84" customFormat="1" x14ac:dyDescent="0.25">
      <c r="A22" s="346" t="s">
        <v>351</v>
      </c>
      <c r="B22" s="93"/>
      <c r="C22" s="93"/>
      <c r="D22" s="91"/>
      <c r="E22" s="91"/>
      <c r="F22" s="91"/>
    </row>
    <row r="23" spans="1:27" s="84" customFormat="1" x14ac:dyDescent="0.25">
      <c r="A23" s="455" t="str">
        <f>'Data 2009-15 (Real $2008)'!A$162</f>
        <v>Meters and transformers (Group 1) (Unit cost &lt; $1,000)</v>
      </c>
      <c r="B23" s="455"/>
      <c r="C23" s="455"/>
      <c r="D23" s="91"/>
      <c r="E23" s="91"/>
      <c r="F23" s="91"/>
    </row>
    <row r="24" spans="1:27" s="84" customFormat="1" x14ac:dyDescent="0.25">
      <c r="A24" s="85" t="s">
        <v>353</v>
      </c>
      <c r="B24" s="85"/>
      <c r="C24" s="85"/>
      <c r="D24" s="491">
        <f>'Offset of Costs and Rev 2006-08'!F256+SUM('Data 2006-08'!D94:F94)/10^3</f>
        <v>12149.26461030576</v>
      </c>
      <c r="E24" s="82">
        <f t="shared" ref="E24:W24" si="2">D27</f>
        <v>16732.703915800408</v>
      </c>
      <c r="F24" s="82">
        <f t="shared" si="2"/>
        <v>43984.790536750632</v>
      </c>
      <c r="G24" s="82">
        <f t="shared" si="2"/>
        <v>92899.181585469138</v>
      </c>
      <c r="H24" s="82">
        <f t="shared" si="2"/>
        <v>132293.63371554419</v>
      </c>
      <c r="I24" s="82">
        <f t="shared" si="2"/>
        <v>159480.40802471511</v>
      </c>
      <c r="J24" s="82">
        <f t="shared" si="2"/>
        <v>130705.02976544693</v>
      </c>
      <c r="K24" s="82">
        <f t="shared" si="2"/>
        <v>86798.833882556428</v>
      </c>
      <c r="L24" s="82">
        <f t="shared" si="2"/>
        <v>54249.271176597766</v>
      </c>
      <c r="M24" s="82">
        <f t="shared" si="2"/>
        <v>33905.794485373604</v>
      </c>
      <c r="N24" s="82">
        <f t="shared" si="2"/>
        <v>21191.121553358502</v>
      </c>
      <c r="O24" s="82">
        <f t="shared" si="2"/>
        <v>13244.450970849064</v>
      </c>
      <c r="P24" s="82">
        <f t="shared" si="2"/>
        <v>8277.7818567806644</v>
      </c>
      <c r="Q24" s="82">
        <f t="shared" si="2"/>
        <v>5173.6136604879157</v>
      </c>
      <c r="R24" s="82">
        <f t="shared" si="2"/>
        <v>3233.5085378049471</v>
      </c>
      <c r="S24" s="82">
        <f t="shared" si="2"/>
        <v>2020.942836128092</v>
      </c>
      <c r="T24" s="82">
        <f t="shared" si="2"/>
        <v>1263.0892725800575</v>
      </c>
      <c r="U24" s="82">
        <f t="shared" si="2"/>
        <v>789.43079536253595</v>
      </c>
      <c r="V24" s="82">
        <f t="shared" si="2"/>
        <v>493.39424710158494</v>
      </c>
      <c r="W24" s="82">
        <f t="shared" si="2"/>
        <v>308.37140443849057</v>
      </c>
      <c r="X24" s="82">
        <f>W27</f>
        <v>192.73212777405661</v>
      </c>
      <c r="Y24" s="82">
        <f>X27</f>
        <v>120.45757985878538</v>
      </c>
      <c r="Z24" s="82">
        <f>Y27</f>
        <v>75.285987411740862</v>
      </c>
      <c r="AA24" s="82">
        <f>Z27</f>
        <v>47.053742132338037</v>
      </c>
    </row>
    <row r="25" spans="1:27" s="84" customFormat="1" x14ac:dyDescent="0.25">
      <c r="A25" s="85" t="s">
        <v>176</v>
      </c>
      <c r="B25" s="85"/>
      <c r="C25" s="85"/>
      <c r="D25" s="82">
        <f t="shared" ref="D25:W25" si="3">$D$6*(D24+D26*0.5)</f>
        <v>6665.0696598706545</v>
      </c>
      <c r="E25" s="82">
        <f t="shared" si="3"/>
        <v>14011.729489050238</v>
      </c>
      <c r="F25" s="82">
        <f t="shared" si="3"/>
        <v>31588.608951281487</v>
      </c>
      <c r="G25" s="82">
        <f t="shared" si="3"/>
        <v>51967.572761772317</v>
      </c>
      <c r="H25" s="82">
        <f t="shared" si="3"/>
        <v>67332.471170829085</v>
      </c>
      <c r="I25" s="82">
        <f t="shared" si="3"/>
        <v>66965.87025926818</v>
      </c>
      <c r="J25" s="82">
        <f t="shared" si="3"/>
        <v>50193.199303385394</v>
      </c>
      <c r="K25" s="82">
        <f t="shared" si="3"/>
        <v>32549.562705958662</v>
      </c>
      <c r="L25" s="82">
        <f t="shared" si="3"/>
        <v>20343.476691224161</v>
      </c>
      <c r="M25" s="82">
        <f t="shared" si="3"/>
        <v>12714.672932015103</v>
      </c>
      <c r="N25" s="82">
        <f t="shared" si="3"/>
        <v>7946.6705825094377</v>
      </c>
      <c r="O25" s="82">
        <f t="shared" si="3"/>
        <v>4966.6691140683988</v>
      </c>
      <c r="P25" s="82">
        <f t="shared" si="3"/>
        <v>3104.1681962927491</v>
      </c>
      <c r="Q25" s="82">
        <f t="shared" si="3"/>
        <v>1940.1051226829684</v>
      </c>
      <c r="R25" s="82">
        <f t="shared" si="3"/>
        <v>1212.565701676855</v>
      </c>
      <c r="S25" s="82">
        <f t="shared" si="3"/>
        <v>757.85356354803457</v>
      </c>
      <c r="T25" s="82">
        <f t="shared" si="3"/>
        <v>473.65847721752152</v>
      </c>
      <c r="U25" s="82">
        <f t="shared" si="3"/>
        <v>296.03654826095101</v>
      </c>
      <c r="V25" s="82">
        <f t="shared" si="3"/>
        <v>185.02284266309437</v>
      </c>
      <c r="W25" s="82">
        <f t="shared" si="3"/>
        <v>115.63927666443396</v>
      </c>
      <c r="X25" s="82">
        <f>$D$6*(X24+X26*0.5)</f>
        <v>72.274547915271228</v>
      </c>
      <c r="Y25" s="82">
        <f>$D$6*(Y24+Y26*0.5)</f>
        <v>45.171592447044517</v>
      </c>
      <c r="Z25" s="82">
        <f>$D$6*(Z24+Z26*0.5)</f>
        <v>28.232245279402825</v>
      </c>
      <c r="AA25" s="82">
        <f>$D$6*(AA24+AA26*0.5)</f>
        <v>17.645153299626763</v>
      </c>
    </row>
    <row r="26" spans="1:27" s="84" customFormat="1" x14ac:dyDescent="0.25">
      <c r="A26" s="85" t="s">
        <v>200</v>
      </c>
      <c r="B26" s="85"/>
      <c r="C26" s="85"/>
      <c r="D26" s="82">
        <f t="shared" ref="D26:W26" si="4">D16</f>
        <v>11248.508965365303</v>
      </c>
      <c r="E26" s="82">
        <f t="shared" si="4"/>
        <v>41263.816110000458</v>
      </c>
      <c r="F26" s="82">
        <f t="shared" si="4"/>
        <v>80503</v>
      </c>
      <c r="G26" s="82">
        <f t="shared" si="4"/>
        <v>91362.024891847381</v>
      </c>
      <c r="H26" s="82">
        <f t="shared" si="4"/>
        <v>94519.245480000012</v>
      </c>
      <c r="I26" s="82">
        <f t="shared" si="4"/>
        <v>38190.491999999998</v>
      </c>
      <c r="J26" s="82">
        <f t="shared" si="4"/>
        <v>6287.0034204948915</v>
      </c>
      <c r="K26" s="82">
        <f t="shared" si="4"/>
        <v>0</v>
      </c>
      <c r="L26" s="82">
        <f t="shared" si="4"/>
        <v>0</v>
      </c>
      <c r="M26" s="82">
        <f t="shared" si="4"/>
        <v>0</v>
      </c>
      <c r="N26" s="82">
        <f t="shared" si="4"/>
        <v>0</v>
      </c>
      <c r="O26" s="82">
        <f t="shared" si="4"/>
        <v>0</v>
      </c>
      <c r="P26" s="82">
        <f t="shared" si="4"/>
        <v>0</v>
      </c>
      <c r="Q26" s="82">
        <f t="shared" si="4"/>
        <v>0</v>
      </c>
      <c r="R26" s="82">
        <f t="shared" si="4"/>
        <v>0</v>
      </c>
      <c r="S26" s="82">
        <f t="shared" si="4"/>
        <v>0</v>
      </c>
      <c r="T26" s="82">
        <f t="shared" si="4"/>
        <v>0</v>
      </c>
      <c r="U26" s="82">
        <f t="shared" si="4"/>
        <v>0</v>
      </c>
      <c r="V26" s="82">
        <f t="shared" si="4"/>
        <v>0</v>
      </c>
      <c r="W26" s="82">
        <f t="shared" si="4"/>
        <v>0</v>
      </c>
      <c r="X26" s="82">
        <f>X16</f>
        <v>0</v>
      </c>
      <c r="Y26" s="82">
        <f>Y16</f>
        <v>0</v>
      </c>
      <c r="Z26" s="82">
        <f>Z16</f>
        <v>0</v>
      </c>
      <c r="AA26" s="82">
        <f>AA16</f>
        <v>0</v>
      </c>
    </row>
    <row r="27" spans="1:27" s="84" customFormat="1" x14ac:dyDescent="0.25">
      <c r="A27" s="85" t="s">
        <v>201</v>
      </c>
      <c r="B27" s="85"/>
      <c r="C27" s="85"/>
      <c r="D27" s="109">
        <f t="shared" ref="D27:W27" si="5">D24-D25+D26</f>
        <v>16732.703915800408</v>
      </c>
      <c r="E27" s="109">
        <f t="shared" si="5"/>
        <v>43984.790536750632</v>
      </c>
      <c r="F27" s="109">
        <f t="shared" si="5"/>
        <v>92899.181585469138</v>
      </c>
      <c r="G27" s="109">
        <f t="shared" si="5"/>
        <v>132293.63371554419</v>
      </c>
      <c r="H27" s="109">
        <f t="shared" si="5"/>
        <v>159480.40802471511</v>
      </c>
      <c r="I27" s="109">
        <f t="shared" si="5"/>
        <v>130705.02976544693</v>
      </c>
      <c r="J27" s="109">
        <f t="shared" si="5"/>
        <v>86798.833882556428</v>
      </c>
      <c r="K27" s="109">
        <f t="shared" si="5"/>
        <v>54249.271176597766</v>
      </c>
      <c r="L27" s="109">
        <f t="shared" si="5"/>
        <v>33905.794485373604</v>
      </c>
      <c r="M27" s="109">
        <f t="shared" si="5"/>
        <v>21191.121553358502</v>
      </c>
      <c r="N27" s="109">
        <f t="shared" si="5"/>
        <v>13244.450970849064</v>
      </c>
      <c r="O27" s="109">
        <f t="shared" si="5"/>
        <v>8277.7818567806644</v>
      </c>
      <c r="P27" s="109">
        <f t="shared" si="5"/>
        <v>5173.6136604879157</v>
      </c>
      <c r="Q27" s="109">
        <f t="shared" si="5"/>
        <v>3233.5085378049471</v>
      </c>
      <c r="R27" s="109">
        <f t="shared" si="5"/>
        <v>2020.942836128092</v>
      </c>
      <c r="S27" s="109">
        <f t="shared" si="5"/>
        <v>1263.0892725800575</v>
      </c>
      <c r="T27" s="109">
        <f t="shared" si="5"/>
        <v>789.43079536253595</v>
      </c>
      <c r="U27" s="109">
        <f t="shared" si="5"/>
        <v>493.39424710158494</v>
      </c>
      <c r="V27" s="109">
        <f t="shared" si="5"/>
        <v>308.37140443849057</v>
      </c>
      <c r="W27" s="109">
        <f t="shared" si="5"/>
        <v>192.73212777405661</v>
      </c>
      <c r="X27" s="109">
        <f>X24-X25+X26</f>
        <v>120.45757985878538</v>
      </c>
      <c r="Y27" s="109">
        <f>Y24-Y25+Y26</f>
        <v>75.285987411740862</v>
      </c>
      <c r="Z27" s="109">
        <f>Z24-Z25+Z26</f>
        <v>47.053742132338037</v>
      </c>
      <c r="AA27" s="109">
        <f>AA24-AA25+AA26</f>
        <v>29.408588832711274</v>
      </c>
    </row>
    <row r="28" spans="1:27" s="84" customFormat="1" x14ac:dyDescent="0.25">
      <c r="A28" s="91"/>
      <c r="B28" s="91"/>
      <c r="C28" s="91"/>
      <c r="D28" s="85"/>
      <c r="E28" s="85"/>
      <c r="F28" s="85"/>
    </row>
    <row r="29" spans="1:27" s="84" customFormat="1" x14ac:dyDescent="0.25">
      <c r="A29" s="455" t="str">
        <f>'Data 2009-15 (Real $2008)'!A$163</f>
        <v>Meters and transformers (Group 2) (Unit cost =&gt; $1,000)</v>
      </c>
      <c r="B29" s="455"/>
      <c r="C29" s="455"/>
      <c r="D29" s="91"/>
      <c r="E29" s="91"/>
      <c r="F29" s="91"/>
    </row>
    <row r="30" spans="1:27" s="84" customFormat="1" x14ac:dyDescent="0.25">
      <c r="A30" s="85" t="str">
        <f>A$24</f>
        <v>Opening asset value</v>
      </c>
      <c r="B30" s="85"/>
      <c r="C30" s="85"/>
      <c r="D30" s="491">
        <f>'Offset of Costs and Rev 2006-08'!F262+SUM('Data 2006-08'!D95:F95)/10^3</f>
        <v>0</v>
      </c>
      <c r="E30" s="82">
        <f t="shared" ref="E30:W30" si="6">D33</f>
        <v>0</v>
      </c>
      <c r="F30" s="82">
        <f t="shared" si="6"/>
        <v>0</v>
      </c>
      <c r="G30" s="82">
        <f t="shared" si="6"/>
        <v>0</v>
      </c>
      <c r="H30" s="82">
        <f t="shared" si="6"/>
        <v>0</v>
      </c>
      <c r="I30" s="82">
        <f t="shared" si="6"/>
        <v>0</v>
      </c>
      <c r="J30" s="82">
        <f t="shared" si="6"/>
        <v>0</v>
      </c>
      <c r="K30" s="82">
        <f t="shared" si="6"/>
        <v>0</v>
      </c>
      <c r="L30" s="82">
        <f t="shared" si="6"/>
        <v>0</v>
      </c>
      <c r="M30" s="82">
        <f t="shared" si="6"/>
        <v>0</v>
      </c>
      <c r="N30" s="82">
        <f t="shared" si="6"/>
        <v>0</v>
      </c>
      <c r="O30" s="82">
        <f t="shared" si="6"/>
        <v>0</v>
      </c>
      <c r="P30" s="82">
        <f t="shared" si="6"/>
        <v>0</v>
      </c>
      <c r="Q30" s="82">
        <f t="shared" si="6"/>
        <v>0</v>
      </c>
      <c r="R30" s="82">
        <f t="shared" si="6"/>
        <v>0</v>
      </c>
      <c r="S30" s="82">
        <f t="shared" si="6"/>
        <v>0</v>
      </c>
      <c r="T30" s="82">
        <f t="shared" si="6"/>
        <v>0</v>
      </c>
      <c r="U30" s="82">
        <f t="shared" si="6"/>
        <v>0</v>
      </c>
      <c r="V30" s="82">
        <f t="shared" si="6"/>
        <v>0</v>
      </c>
      <c r="W30" s="82">
        <f t="shared" si="6"/>
        <v>0</v>
      </c>
      <c r="X30" s="82">
        <f>W33</f>
        <v>0</v>
      </c>
      <c r="Y30" s="82">
        <f>X33</f>
        <v>0</v>
      </c>
      <c r="Z30" s="82">
        <f>Y33</f>
        <v>0</v>
      </c>
      <c r="AA30" s="82">
        <f>Z33</f>
        <v>0</v>
      </c>
    </row>
    <row r="31" spans="1:27" s="84" customFormat="1" x14ac:dyDescent="0.25">
      <c r="A31" s="85" t="str">
        <f>A$25</f>
        <v>Depreciation</v>
      </c>
      <c r="B31" s="85"/>
      <c r="C31" s="85"/>
      <c r="D31" s="82">
        <f t="shared" ref="D31:W31" si="7">$D$7*(D30+D32*0.5)</f>
        <v>0</v>
      </c>
      <c r="E31" s="82">
        <f t="shared" si="7"/>
        <v>0</v>
      </c>
      <c r="F31" s="82">
        <f t="shared" si="7"/>
        <v>0</v>
      </c>
      <c r="G31" s="82">
        <f t="shared" si="7"/>
        <v>0</v>
      </c>
      <c r="H31" s="82">
        <f t="shared" si="7"/>
        <v>0</v>
      </c>
      <c r="I31" s="82">
        <f t="shared" si="7"/>
        <v>0</v>
      </c>
      <c r="J31" s="82">
        <f t="shared" si="7"/>
        <v>0</v>
      </c>
      <c r="K31" s="82">
        <f t="shared" si="7"/>
        <v>0</v>
      </c>
      <c r="L31" s="82">
        <f t="shared" si="7"/>
        <v>0</v>
      </c>
      <c r="M31" s="82">
        <f t="shared" si="7"/>
        <v>0</v>
      </c>
      <c r="N31" s="82">
        <f t="shared" si="7"/>
        <v>0</v>
      </c>
      <c r="O31" s="82">
        <f t="shared" si="7"/>
        <v>0</v>
      </c>
      <c r="P31" s="82">
        <f t="shared" si="7"/>
        <v>0</v>
      </c>
      <c r="Q31" s="82">
        <f t="shared" si="7"/>
        <v>0</v>
      </c>
      <c r="R31" s="82">
        <f t="shared" si="7"/>
        <v>0</v>
      </c>
      <c r="S31" s="82">
        <f t="shared" si="7"/>
        <v>0</v>
      </c>
      <c r="T31" s="82">
        <f t="shared" si="7"/>
        <v>0</v>
      </c>
      <c r="U31" s="82">
        <f t="shared" si="7"/>
        <v>0</v>
      </c>
      <c r="V31" s="82">
        <f t="shared" si="7"/>
        <v>0</v>
      </c>
      <c r="W31" s="82">
        <f t="shared" si="7"/>
        <v>0</v>
      </c>
      <c r="X31" s="82">
        <f>$D$7*(X30+X32*0.5)</f>
        <v>0</v>
      </c>
      <c r="Y31" s="82">
        <f>$D$7*(Y30+Y32*0.5)</f>
        <v>0</v>
      </c>
      <c r="Z31" s="82">
        <f>$D$7*(Z30+Z32*0.5)</f>
        <v>0</v>
      </c>
      <c r="AA31" s="82">
        <f>$D$7*(AA30+AA32*0.5)</f>
        <v>0</v>
      </c>
    </row>
    <row r="32" spans="1:27" s="84" customFormat="1" x14ac:dyDescent="0.25">
      <c r="A32" s="85" t="str">
        <f>A$26</f>
        <v>Gross capex</v>
      </c>
      <c r="B32" s="85"/>
      <c r="C32" s="85"/>
      <c r="D32" s="82">
        <f t="shared" ref="D32:W32" si="8">D17</f>
        <v>0</v>
      </c>
      <c r="E32" s="82">
        <f t="shared" si="8"/>
        <v>0</v>
      </c>
      <c r="F32" s="82">
        <f t="shared" si="8"/>
        <v>0</v>
      </c>
      <c r="G32" s="82">
        <f t="shared" si="8"/>
        <v>0</v>
      </c>
      <c r="H32" s="82">
        <f t="shared" si="8"/>
        <v>0</v>
      </c>
      <c r="I32" s="82">
        <f t="shared" si="8"/>
        <v>0</v>
      </c>
      <c r="J32" s="82">
        <f t="shared" si="8"/>
        <v>0</v>
      </c>
      <c r="K32" s="82">
        <f t="shared" si="8"/>
        <v>0</v>
      </c>
      <c r="L32" s="82">
        <f t="shared" si="8"/>
        <v>0</v>
      </c>
      <c r="M32" s="82">
        <f t="shared" si="8"/>
        <v>0</v>
      </c>
      <c r="N32" s="82">
        <f t="shared" si="8"/>
        <v>0</v>
      </c>
      <c r="O32" s="82">
        <f t="shared" si="8"/>
        <v>0</v>
      </c>
      <c r="P32" s="82">
        <f t="shared" si="8"/>
        <v>0</v>
      </c>
      <c r="Q32" s="82">
        <f t="shared" si="8"/>
        <v>0</v>
      </c>
      <c r="R32" s="82">
        <f t="shared" si="8"/>
        <v>0</v>
      </c>
      <c r="S32" s="82">
        <f t="shared" si="8"/>
        <v>0</v>
      </c>
      <c r="T32" s="82">
        <f t="shared" si="8"/>
        <v>0</v>
      </c>
      <c r="U32" s="82">
        <f t="shared" si="8"/>
        <v>0</v>
      </c>
      <c r="V32" s="82">
        <f t="shared" si="8"/>
        <v>0</v>
      </c>
      <c r="W32" s="82">
        <f t="shared" si="8"/>
        <v>0</v>
      </c>
      <c r="X32" s="82">
        <f>X17</f>
        <v>0</v>
      </c>
      <c r="Y32" s="82">
        <f>Y17</f>
        <v>0</v>
      </c>
      <c r="Z32" s="82">
        <f>Z17</f>
        <v>0</v>
      </c>
      <c r="AA32" s="82">
        <f>AA17</f>
        <v>0</v>
      </c>
    </row>
    <row r="33" spans="1:27" s="84" customFormat="1" x14ac:dyDescent="0.25">
      <c r="A33" s="85" t="str">
        <f>A$27</f>
        <v>Closing asset value</v>
      </c>
      <c r="B33" s="85"/>
      <c r="C33" s="85"/>
      <c r="D33" s="109">
        <f t="shared" ref="D33:W33" si="9">D30-D31+D32</f>
        <v>0</v>
      </c>
      <c r="E33" s="109">
        <f t="shared" si="9"/>
        <v>0</v>
      </c>
      <c r="F33" s="109">
        <f t="shared" si="9"/>
        <v>0</v>
      </c>
      <c r="G33" s="109">
        <f t="shared" si="9"/>
        <v>0</v>
      </c>
      <c r="H33" s="109">
        <f t="shared" si="9"/>
        <v>0</v>
      </c>
      <c r="I33" s="109">
        <f t="shared" si="9"/>
        <v>0</v>
      </c>
      <c r="J33" s="109">
        <f t="shared" si="9"/>
        <v>0</v>
      </c>
      <c r="K33" s="109">
        <f t="shared" si="9"/>
        <v>0</v>
      </c>
      <c r="L33" s="109">
        <f t="shared" si="9"/>
        <v>0</v>
      </c>
      <c r="M33" s="109">
        <f t="shared" si="9"/>
        <v>0</v>
      </c>
      <c r="N33" s="109">
        <f t="shared" si="9"/>
        <v>0</v>
      </c>
      <c r="O33" s="109">
        <f t="shared" si="9"/>
        <v>0</v>
      </c>
      <c r="P33" s="109">
        <f t="shared" si="9"/>
        <v>0</v>
      </c>
      <c r="Q33" s="109">
        <f t="shared" si="9"/>
        <v>0</v>
      </c>
      <c r="R33" s="109">
        <f t="shared" si="9"/>
        <v>0</v>
      </c>
      <c r="S33" s="109">
        <f t="shared" si="9"/>
        <v>0</v>
      </c>
      <c r="T33" s="109">
        <f t="shared" si="9"/>
        <v>0</v>
      </c>
      <c r="U33" s="109">
        <f t="shared" si="9"/>
        <v>0</v>
      </c>
      <c r="V33" s="109">
        <f t="shared" si="9"/>
        <v>0</v>
      </c>
      <c r="W33" s="109">
        <f t="shared" si="9"/>
        <v>0</v>
      </c>
      <c r="X33" s="109">
        <f>X30-X31+X32</f>
        <v>0</v>
      </c>
      <c r="Y33" s="109">
        <f>Y30-Y31+Y32</f>
        <v>0</v>
      </c>
      <c r="Z33" s="109">
        <f>Z30-Z31+Z32</f>
        <v>0</v>
      </c>
      <c r="AA33" s="109">
        <f>AA30-AA31+AA32</f>
        <v>0</v>
      </c>
    </row>
    <row r="34" spans="1:27" s="84" customFormat="1" x14ac:dyDescent="0.25">
      <c r="A34" s="91"/>
      <c r="B34" s="91"/>
      <c r="C34" s="91"/>
      <c r="D34" s="83"/>
      <c r="E34" s="83"/>
      <c r="F34" s="83"/>
      <c r="G34" s="83"/>
      <c r="H34" s="83"/>
      <c r="I34" s="83"/>
    </row>
    <row r="35" spans="1:27" s="84" customFormat="1" x14ac:dyDescent="0.25">
      <c r="A35" s="455" t="str">
        <f>'Data 2009-15 (Real $2008)'!A$164</f>
        <v>IT</v>
      </c>
      <c r="B35" s="455"/>
      <c r="C35" s="455"/>
      <c r="D35" s="85"/>
      <c r="E35" s="85"/>
      <c r="F35" s="85"/>
      <c r="G35" s="85"/>
      <c r="H35" s="85"/>
      <c r="I35" s="85"/>
    </row>
    <row r="36" spans="1:27" s="84" customFormat="1" x14ac:dyDescent="0.25">
      <c r="A36" s="85" t="str">
        <f>A$24</f>
        <v>Opening asset value</v>
      </c>
      <c r="B36" s="85"/>
      <c r="C36" s="85"/>
      <c r="D36" s="491">
        <f>'Offset of Costs and Rev 2006-08'!F268+SUM('Data 2006-08'!D96:F96)/10^3</f>
        <v>14584.368977199998</v>
      </c>
      <c r="E36" s="82">
        <f t="shared" ref="E36:W36" si="10">D39</f>
        <v>29915.946467811482</v>
      </c>
      <c r="F36" s="82">
        <f t="shared" si="10"/>
        <v>49011.489179676937</v>
      </c>
      <c r="G36" s="82">
        <f t="shared" si="10"/>
        <v>47992.551066235043</v>
      </c>
      <c r="H36" s="82">
        <f t="shared" si="10"/>
        <v>48509.567886987803</v>
      </c>
      <c r="I36" s="82">
        <f t="shared" si="10"/>
        <v>36334.90878560939</v>
      </c>
      <c r="J36" s="82">
        <f t="shared" si="10"/>
        <v>35954.984593185698</v>
      </c>
      <c r="K36" s="82">
        <f t="shared" si="10"/>
        <v>55157.016105078714</v>
      </c>
      <c r="L36" s="82">
        <f t="shared" si="10"/>
        <v>33094.209663047222</v>
      </c>
      <c r="M36" s="82">
        <f t="shared" si="10"/>
        <v>19856.525797828333</v>
      </c>
      <c r="N36" s="82">
        <f t="shared" si="10"/>
        <v>11913.915478696999</v>
      </c>
      <c r="O36" s="82">
        <f t="shared" si="10"/>
        <v>7148.3492872181996</v>
      </c>
      <c r="P36" s="82">
        <f t="shared" si="10"/>
        <v>4289.0095723309196</v>
      </c>
      <c r="Q36" s="82">
        <f t="shared" si="10"/>
        <v>2573.4057433985517</v>
      </c>
      <c r="R36" s="82">
        <f t="shared" si="10"/>
        <v>1544.0434460391309</v>
      </c>
      <c r="S36" s="82">
        <f t="shared" si="10"/>
        <v>926.4260676234785</v>
      </c>
      <c r="T36" s="82">
        <f t="shared" si="10"/>
        <v>555.85564057408715</v>
      </c>
      <c r="U36" s="82">
        <f t="shared" si="10"/>
        <v>333.51338434445228</v>
      </c>
      <c r="V36" s="82">
        <f t="shared" si="10"/>
        <v>200.10803060667135</v>
      </c>
      <c r="W36" s="82">
        <f t="shared" si="10"/>
        <v>120.0648183640028</v>
      </c>
      <c r="X36" s="82">
        <f>W39</f>
        <v>72.038891018401671</v>
      </c>
      <c r="Y36" s="82">
        <f>X39</f>
        <v>43.223334611040997</v>
      </c>
      <c r="Z36" s="82">
        <f>Y39</f>
        <v>25.934000766624596</v>
      </c>
      <c r="AA36" s="82">
        <f>Z39</f>
        <v>15.560400459974757</v>
      </c>
    </row>
    <row r="37" spans="1:27" s="84" customFormat="1" x14ac:dyDescent="0.25">
      <c r="A37" s="85" t="str">
        <f>A$25</f>
        <v>Depreciation</v>
      </c>
      <c r="B37" s="85"/>
      <c r="C37" s="85"/>
      <c r="D37" s="82">
        <f t="shared" ref="D37:W37" si="11">$D$8*(D36+D38*0.5)</f>
        <v>11125.07886125287</v>
      </c>
      <c r="E37" s="82">
        <f t="shared" si="11"/>
        <v>19731.858911872107</v>
      </c>
      <c r="F37" s="82">
        <f t="shared" si="11"/>
        <v>24251.010061477995</v>
      </c>
      <c r="G37" s="82">
        <f t="shared" si="11"/>
        <v>24125.529738305715</v>
      </c>
      <c r="H37" s="82">
        <f t="shared" si="11"/>
        <v>21211.1191681493</v>
      </c>
      <c r="I37" s="82">
        <f t="shared" si="11"/>
        <v>18072.473344698774</v>
      </c>
      <c r="J37" s="82">
        <f t="shared" si="11"/>
        <v>22778.000174566103</v>
      </c>
      <c r="K37" s="82">
        <f t="shared" si="11"/>
        <v>22062.806442031488</v>
      </c>
      <c r="L37" s="82">
        <f t="shared" si="11"/>
        <v>13237.683865218889</v>
      </c>
      <c r="M37" s="82">
        <f t="shared" si="11"/>
        <v>7942.6103191313341</v>
      </c>
      <c r="N37" s="82">
        <f t="shared" si="11"/>
        <v>4765.5661914787997</v>
      </c>
      <c r="O37" s="82">
        <f t="shared" si="11"/>
        <v>2859.33971488728</v>
      </c>
      <c r="P37" s="82">
        <f t="shared" si="11"/>
        <v>1715.6038289323678</v>
      </c>
      <c r="Q37" s="82">
        <f t="shared" si="11"/>
        <v>1029.3622973594208</v>
      </c>
      <c r="R37" s="82">
        <f t="shared" si="11"/>
        <v>617.61737841565241</v>
      </c>
      <c r="S37" s="82">
        <f t="shared" si="11"/>
        <v>370.57042704939141</v>
      </c>
      <c r="T37" s="82">
        <f t="shared" si="11"/>
        <v>222.34225622963487</v>
      </c>
      <c r="U37" s="82">
        <f t="shared" si="11"/>
        <v>133.40535373778093</v>
      </c>
      <c r="V37" s="82">
        <f t="shared" si="11"/>
        <v>80.043212242668545</v>
      </c>
      <c r="W37" s="82">
        <f t="shared" si="11"/>
        <v>48.025927345601126</v>
      </c>
      <c r="X37" s="82">
        <f>$D$8*(X36+X38*0.5)</f>
        <v>28.81555640736067</v>
      </c>
      <c r="Y37" s="82">
        <f>$D$8*(Y36+Y38*0.5)</f>
        <v>17.289333844416401</v>
      </c>
      <c r="Z37" s="82">
        <f>$D$8*(Z36+Z38*0.5)</f>
        <v>10.373600306649839</v>
      </c>
      <c r="AA37" s="82">
        <f>$D$8*(AA36+AA38*0.5)</f>
        <v>6.2241601839899028</v>
      </c>
    </row>
    <row r="38" spans="1:27" s="84" customFormat="1" x14ac:dyDescent="0.25">
      <c r="A38" s="85" t="str">
        <f>A$26</f>
        <v>Gross capex</v>
      </c>
      <c r="B38" s="85"/>
      <c r="C38" s="85"/>
      <c r="D38" s="82">
        <f t="shared" ref="D38:W38" si="12">D18</f>
        <v>26456.656351864352</v>
      </c>
      <c r="E38" s="82">
        <f t="shared" si="12"/>
        <v>38827.401623737562</v>
      </c>
      <c r="F38" s="82">
        <f t="shared" si="12"/>
        <v>23232.071948036104</v>
      </c>
      <c r="G38" s="82">
        <f t="shared" si="12"/>
        <v>24642.546559058472</v>
      </c>
      <c r="H38" s="82">
        <f t="shared" si="12"/>
        <v>9036.4600667708892</v>
      </c>
      <c r="I38" s="82">
        <f t="shared" si="12"/>
        <v>17692.549152275078</v>
      </c>
      <c r="J38" s="82">
        <f t="shared" si="12"/>
        <v>41980.031686459115</v>
      </c>
      <c r="K38" s="82">
        <f t="shared" si="12"/>
        <v>0</v>
      </c>
      <c r="L38" s="82">
        <f t="shared" si="12"/>
        <v>0</v>
      </c>
      <c r="M38" s="82">
        <f t="shared" si="12"/>
        <v>0</v>
      </c>
      <c r="N38" s="82">
        <f t="shared" si="12"/>
        <v>0</v>
      </c>
      <c r="O38" s="82">
        <f t="shared" si="12"/>
        <v>0</v>
      </c>
      <c r="P38" s="82">
        <f t="shared" si="12"/>
        <v>0</v>
      </c>
      <c r="Q38" s="82">
        <f t="shared" si="12"/>
        <v>0</v>
      </c>
      <c r="R38" s="82">
        <f t="shared" si="12"/>
        <v>0</v>
      </c>
      <c r="S38" s="82">
        <f t="shared" si="12"/>
        <v>0</v>
      </c>
      <c r="T38" s="82">
        <f t="shared" si="12"/>
        <v>0</v>
      </c>
      <c r="U38" s="82">
        <f t="shared" si="12"/>
        <v>0</v>
      </c>
      <c r="V38" s="82">
        <f t="shared" si="12"/>
        <v>0</v>
      </c>
      <c r="W38" s="82">
        <f t="shared" si="12"/>
        <v>0</v>
      </c>
      <c r="X38" s="82">
        <f>X18</f>
        <v>0</v>
      </c>
      <c r="Y38" s="82">
        <f>Y18</f>
        <v>0</v>
      </c>
      <c r="Z38" s="82">
        <f>Z18</f>
        <v>0</v>
      </c>
      <c r="AA38" s="82">
        <f>AA18</f>
        <v>0</v>
      </c>
    </row>
    <row r="39" spans="1:27" s="84" customFormat="1" x14ac:dyDescent="0.25">
      <c r="A39" s="85" t="str">
        <f>A$27</f>
        <v>Closing asset value</v>
      </c>
      <c r="B39" s="85"/>
      <c r="C39" s="85"/>
      <c r="D39" s="109">
        <f t="shared" ref="D39:W39" si="13">D36-D37+D38</f>
        <v>29915.946467811482</v>
      </c>
      <c r="E39" s="109">
        <f t="shared" si="13"/>
        <v>49011.489179676937</v>
      </c>
      <c r="F39" s="109">
        <f t="shared" si="13"/>
        <v>47992.551066235043</v>
      </c>
      <c r="G39" s="109">
        <f t="shared" si="13"/>
        <v>48509.567886987803</v>
      </c>
      <c r="H39" s="109">
        <f t="shared" si="13"/>
        <v>36334.90878560939</v>
      </c>
      <c r="I39" s="109">
        <f t="shared" si="13"/>
        <v>35954.984593185698</v>
      </c>
      <c r="J39" s="109">
        <f t="shared" si="13"/>
        <v>55157.016105078714</v>
      </c>
      <c r="K39" s="109">
        <f t="shared" si="13"/>
        <v>33094.209663047222</v>
      </c>
      <c r="L39" s="109">
        <f t="shared" si="13"/>
        <v>19856.525797828333</v>
      </c>
      <c r="M39" s="109">
        <f t="shared" si="13"/>
        <v>11913.915478696999</v>
      </c>
      <c r="N39" s="109">
        <f t="shared" si="13"/>
        <v>7148.3492872181996</v>
      </c>
      <c r="O39" s="109">
        <f t="shared" si="13"/>
        <v>4289.0095723309196</v>
      </c>
      <c r="P39" s="109">
        <f t="shared" si="13"/>
        <v>2573.4057433985517</v>
      </c>
      <c r="Q39" s="109">
        <f t="shared" si="13"/>
        <v>1544.0434460391309</v>
      </c>
      <c r="R39" s="109">
        <f t="shared" si="13"/>
        <v>926.4260676234785</v>
      </c>
      <c r="S39" s="109">
        <f t="shared" si="13"/>
        <v>555.85564057408715</v>
      </c>
      <c r="T39" s="109">
        <f t="shared" si="13"/>
        <v>333.51338434445228</v>
      </c>
      <c r="U39" s="109">
        <f t="shared" si="13"/>
        <v>200.10803060667135</v>
      </c>
      <c r="V39" s="109">
        <f t="shared" si="13"/>
        <v>120.0648183640028</v>
      </c>
      <c r="W39" s="109">
        <f t="shared" si="13"/>
        <v>72.038891018401671</v>
      </c>
      <c r="X39" s="109">
        <f>X36-X37+X38</f>
        <v>43.223334611040997</v>
      </c>
      <c r="Y39" s="109">
        <f>Y36-Y37+Y38</f>
        <v>25.934000766624596</v>
      </c>
      <c r="Z39" s="109">
        <f>Z36-Z37+Z38</f>
        <v>15.560400459974757</v>
      </c>
      <c r="AA39" s="109">
        <f>AA36-AA37+AA38</f>
        <v>9.3362402759848528</v>
      </c>
    </row>
    <row r="40" spans="1:27" s="84" customFormat="1" x14ac:dyDescent="0.25">
      <c r="A40" s="91"/>
      <c r="B40" s="91"/>
      <c r="C40" s="91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</row>
    <row r="41" spans="1:27" s="84" customFormat="1" x14ac:dyDescent="0.25">
      <c r="A41" s="455" t="str">
        <f>'Data 2009-15 (Real $2008)'!A$165</f>
        <v>Communications</v>
      </c>
      <c r="B41" s="455"/>
      <c r="C41" s="45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</row>
    <row r="42" spans="1:27" s="84" customFormat="1" x14ac:dyDescent="0.25">
      <c r="A42" s="85" t="str">
        <f>A$24</f>
        <v>Opening asset value</v>
      </c>
      <c r="B42" s="85"/>
      <c r="C42" s="85"/>
      <c r="D42" s="491">
        <f>SUM('Data 2006-08'!D97:F97)/10^3</f>
        <v>0</v>
      </c>
      <c r="E42" s="82">
        <f t="shared" ref="E42:W42" si="14">D45</f>
        <v>793.35275892857135</v>
      </c>
      <c r="F42" s="82">
        <f t="shared" si="14"/>
        <v>8441.9792213010223</v>
      </c>
      <c r="G42" s="82">
        <f t="shared" si="14"/>
        <v>14632.41601316509</v>
      </c>
      <c r="H42" s="82">
        <f t="shared" si="14"/>
        <v>33669.961358558285</v>
      </c>
      <c r="I42" s="82">
        <f t="shared" si="14"/>
        <v>43256.57328172437</v>
      </c>
      <c r="J42" s="82">
        <f t="shared" si="14"/>
        <v>37985.359839922909</v>
      </c>
      <c r="K42" s="82">
        <f t="shared" si="14"/>
        <v>38295.645221798179</v>
      </c>
      <c r="L42" s="82">
        <f t="shared" si="14"/>
        <v>30089.435531412855</v>
      </c>
      <c r="M42" s="82">
        <f t="shared" si="14"/>
        <v>23641.699346110101</v>
      </c>
      <c r="N42" s="82">
        <f t="shared" si="14"/>
        <v>18575.620914800795</v>
      </c>
      <c r="O42" s="82">
        <f t="shared" si="14"/>
        <v>14595.130718772052</v>
      </c>
      <c r="P42" s="82">
        <f t="shared" si="14"/>
        <v>11467.602707606613</v>
      </c>
      <c r="Q42" s="82">
        <f t="shared" si="14"/>
        <v>9010.2592702623388</v>
      </c>
      <c r="R42" s="82">
        <f t="shared" si="14"/>
        <v>7079.4894266346946</v>
      </c>
      <c r="S42" s="82">
        <f t="shared" si="14"/>
        <v>5562.4559780701175</v>
      </c>
      <c r="T42" s="82">
        <f t="shared" si="14"/>
        <v>4370.5011256265207</v>
      </c>
      <c r="U42" s="82">
        <f t="shared" si="14"/>
        <v>3433.9651701351236</v>
      </c>
      <c r="V42" s="82">
        <f t="shared" si="14"/>
        <v>2698.1154908204544</v>
      </c>
      <c r="W42" s="82">
        <f t="shared" si="14"/>
        <v>2119.9478856446426</v>
      </c>
      <c r="X42" s="82">
        <f>W45</f>
        <v>1665.6733387207905</v>
      </c>
      <c r="Y42" s="82">
        <f>X45</f>
        <v>1308.7433375663354</v>
      </c>
      <c r="Z42" s="82">
        <f>Y45</f>
        <v>1028.2983366592634</v>
      </c>
      <c r="AA42" s="82">
        <f>Z45</f>
        <v>807.94869308942134</v>
      </c>
    </row>
    <row r="43" spans="1:27" s="84" customFormat="1" x14ac:dyDescent="0.25">
      <c r="A43" s="85" t="str">
        <f>A$25</f>
        <v>Depreciation</v>
      </c>
      <c r="B43" s="85"/>
      <c r="C43" s="85"/>
      <c r="D43" s="82">
        <f t="shared" ref="D43:W43" si="15">$D$9*(D42+D44*0.5)</f>
        <v>95.20233107142856</v>
      </c>
      <c r="E43" s="82">
        <f t="shared" si="15"/>
        <v>1108.2398376275512</v>
      </c>
      <c r="F43" s="82">
        <f t="shared" si="15"/>
        <v>2768.927428135933</v>
      </c>
      <c r="G43" s="82">
        <f t="shared" si="15"/>
        <v>5796.2852846068054</v>
      </c>
      <c r="H43" s="82">
        <f t="shared" si="15"/>
        <v>9231.1841568339169</v>
      </c>
      <c r="I43" s="82">
        <f t="shared" si="15"/>
        <v>9749.0319745976722</v>
      </c>
      <c r="J43" s="82">
        <f t="shared" si="15"/>
        <v>9153.7206074065289</v>
      </c>
      <c r="K43" s="82">
        <f t="shared" si="15"/>
        <v>8206.2096903853235</v>
      </c>
      <c r="L43" s="82">
        <f t="shared" si="15"/>
        <v>6447.7361853027542</v>
      </c>
      <c r="M43" s="82">
        <f t="shared" si="15"/>
        <v>5066.0784313093072</v>
      </c>
      <c r="N43" s="82">
        <f t="shared" si="15"/>
        <v>3980.4901960287416</v>
      </c>
      <c r="O43" s="82">
        <f t="shared" si="15"/>
        <v>3127.5280111654397</v>
      </c>
      <c r="P43" s="82">
        <f t="shared" si="15"/>
        <v>2457.3434373442742</v>
      </c>
      <c r="Q43" s="82">
        <f t="shared" si="15"/>
        <v>1930.7698436276439</v>
      </c>
      <c r="R43" s="82">
        <f t="shared" si="15"/>
        <v>1517.0334485645774</v>
      </c>
      <c r="S43" s="82">
        <f t="shared" si="15"/>
        <v>1191.9548524435966</v>
      </c>
      <c r="T43" s="82">
        <f t="shared" si="15"/>
        <v>936.5359554913972</v>
      </c>
      <c r="U43" s="82">
        <f t="shared" si="15"/>
        <v>735.84967931466929</v>
      </c>
      <c r="V43" s="82">
        <f t="shared" si="15"/>
        <v>578.16760517581167</v>
      </c>
      <c r="W43" s="82">
        <f t="shared" si="15"/>
        <v>454.27454692385197</v>
      </c>
      <c r="X43" s="82">
        <f>$D$9*(X42+X44*0.5)</f>
        <v>356.93000115445511</v>
      </c>
      <c r="Y43" s="82">
        <f>$D$9*(Y42+Y44*0.5)</f>
        <v>280.44500090707186</v>
      </c>
      <c r="Z43" s="82">
        <f>$D$9*(Z42+Z44*0.5)</f>
        <v>220.34964356984216</v>
      </c>
      <c r="AA43" s="82">
        <f>$D$9*(AA42+AA44*0.5)</f>
        <v>173.13186280487599</v>
      </c>
    </row>
    <row r="44" spans="1:27" s="84" customFormat="1" x14ac:dyDescent="0.25">
      <c r="A44" s="85" t="str">
        <f>A$26</f>
        <v>Gross capex</v>
      </c>
      <c r="B44" s="85"/>
      <c r="C44" s="85"/>
      <c r="D44" s="82">
        <f t="shared" ref="D44:W44" si="16">D19</f>
        <v>888.55508999999995</v>
      </c>
      <c r="E44" s="82">
        <f t="shared" si="16"/>
        <v>8756.8663000000015</v>
      </c>
      <c r="F44" s="82">
        <f t="shared" si="16"/>
        <v>8959.3642199999995</v>
      </c>
      <c r="G44" s="82">
        <f t="shared" si="16"/>
        <v>24833.830630000004</v>
      </c>
      <c r="H44" s="82">
        <f t="shared" si="16"/>
        <v>18817.796080000004</v>
      </c>
      <c r="I44" s="82">
        <f t="shared" si="16"/>
        <v>4477.8185327962137</v>
      </c>
      <c r="J44" s="82">
        <f t="shared" si="16"/>
        <v>9464.005989281799</v>
      </c>
      <c r="K44" s="82">
        <f t="shared" si="16"/>
        <v>0</v>
      </c>
      <c r="L44" s="82">
        <f t="shared" si="16"/>
        <v>0</v>
      </c>
      <c r="M44" s="82">
        <f t="shared" si="16"/>
        <v>0</v>
      </c>
      <c r="N44" s="82">
        <f t="shared" si="16"/>
        <v>0</v>
      </c>
      <c r="O44" s="82">
        <f t="shared" si="16"/>
        <v>0</v>
      </c>
      <c r="P44" s="82">
        <f t="shared" si="16"/>
        <v>0</v>
      </c>
      <c r="Q44" s="82">
        <f t="shared" si="16"/>
        <v>0</v>
      </c>
      <c r="R44" s="82">
        <f t="shared" si="16"/>
        <v>0</v>
      </c>
      <c r="S44" s="82">
        <f t="shared" si="16"/>
        <v>0</v>
      </c>
      <c r="T44" s="82">
        <f t="shared" si="16"/>
        <v>0</v>
      </c>
      <c r="U44" s="82">
        <f t="shared" si="16"/>
        <v>0</v>
      </c>
      <c r="V44" s="82">
        <f t="shared" si="16"/>
        <v>0</v>
      </c>
      <c r="W44" s="82">
        <f t="shared" si="16"/>
        <v>0</v>
      </c>
      <c r="X44" s="82">
        <f>X19</f>
        <v>0</v>
      </c>
      <c r="Y44" s="82">
        <f>Y19</f>
        <v>0</v>
      </c>
      <c r="Z44" s="82">
        <f>Z19</f>
        <v>0</v>
      </c>
      <c r="AA44" s="82">
        <f>AA19</f>
        <v>0</v>
      </c>
    </row>
    <row r="45" spans="1:27" s="84" customFormat="1" x14ac:dyDescent="0.25">
      <c r="A45" s="85" t="str">
        <f>A$27</f>
        <v>Closing asset value</v>
      </c>
      <c r="B45" s="85"/>
      <c r="C45" s="85"/>
      <c r="D45" s="109">
        <f t="shared" ref="D45:W45" si="17">D42-D43+D44</f>
        <v>793.35275892857135</v>
      </c>
      <c r="E45" s="109">
        <f t="shared" si="17"/>
        <v>8441.9792213010223</v>
      </c>
      <c r="F45" s="109">
        <f t="shared" si="17"/>
        <v>14632.41601316509</v>
      </c>
      <c r="G45" s="109">
        <f t="shared" si="17"/>
        <v>33669.961358558285</v>
      </c>
      <c r="H45" s="109">
        <f t="shared" si="17"/>
        <v>43256.57328172437</v>
      </c>
      <c r="I45" s="109">
        <f t="shared" si="17"/>
        <v>37985.359839922909</v>
      </c>
      <c r="J45" s="109">
        <f t="shared" si="17"/>
        <v>38295.645221798179</v>
      </c>
      <c r="K45" s="109">
        <f t="shared" si="17"/>
        <v>30089.435531412855</v>
      </c>
      <c r="L45" s="109">
        <f t="shared" si="17"/>
        <v>23641.699346110101</v>
      </c>
      <c r="M45" s="109">
        <f t="shared" si="17"/>
        <v>18575.620914800795</v>
      </c>
      <c r="N45" s="109">
        <f t="shared" si="17"/>
        <v>14595.130718772052</v>
      </c>
      <c r="O45" s="109">
        <f t="shared" si="17"/>
        <v>11467.602707606613</v>
      </c>
      <c r="P45" s="109">
        <f t="shared" si="17"/>
        <v>9010.2592702623388</v>
      </c>
      <c r="Q45" s="109">
        <f t="shared" si="17"/>
        <v>7079.4894266346946</v>
      </c>
      <c r="R45" s="109">
        <f t="shared" si="17"/>
        <v>5562.4559780701175</v>
      </c>
      <c r="S45" s="109">
        <f t="shared" si="17"/>
        <v>4370.5011256265207</v>
      </c>
      <c r="T45" s="109">
        <f t="shared" si="17"/>
        <v>3433.9651701351236</v>
      </c>
      <c r="U45" s="109">
        <f t="shared" si="17"/>
        <v>2698.1154908204544</v>
      </c>
      <c r="V45" s="109">
        <f t="shared" si="17"/>
        <v>2119.9478856446426</v>
      </c>
      <c r="W45" s="109">
        <f t="shared" si="17"/>
        <v>1665.6733387207905</v>
      </c>
      <c r="X45" s="109">
        <f>X42-X43+X44</f>
        <v>1308.7433375663354</v>
      </c>
      <c r="Y45" s="109">
        <f>Y42-Y43+Y44</f>
        <v>1028.2983366592634</v>
      </c>
      <c r="Z45" s="109">
        <f>Z42-Z43+Z44</f>
        <v>807.94869308942134</v>
      </c>
      <c r="AA45" s="109">
        <f>AA42-AA43+AA44</f>
        <v>634.8168302845454</v>
      </c>
    </row>
    <row r="46" spans="1:27" s="84" customFormat="1" x14ac:dyDescent="0.25">
      <c r="A46" s="91"/>
      <c r="B46" s="91"/>
      <c r="C46" s="91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</row>
    <row r="47" spans="1:27" s="84" customFormat="1" x14ac:dyDescent="0.25">
      <c r="A47" s="455" t="str">
        <f>'Data 2009-15 (Real $2008)'!A$166</f>
        <v>Other</v>
      </c>
      <c r="B47" s="455"/>
      <c r="C47" s="45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 spans="1:27" s="84" customFormat="1" x14ac:dyDescent="0.25">
      <c r="A48" s="85" t="str">
        <f>A$24</f>
        <v>Opening asset value</v>
      </c>
      <c r="B48" s="85"/>
      <c r="C48" s="85"/>
      <c r="D48" s="491">
        <f>'Offset of Costs and Rev 2006-08'!F274+SUM('Data 2006-08'!D98:F98)/10^3</f>
        <v>223.50866515143426</v>
      </c>
      <c r="E48" s="82">
        <f t="shared" ref="E48:W48" si="18">D51</f>
        <v>184.06595953647528</v>
      </c>
      <c r="F48" s="82">
        <f t="shared" si="18"/>
        <v>151.58373138297964</v>
      </c>
      <c r="G48" s="82">
        <f t="shared" si="18"/>
        <v>124.83366113892441</v>
      </c>
      <c r="H48" s="82">
        <f t="shared" si="18"/>
        <v>102.80419152617304</v>
      </c>
      <c r="I48" s="82">
        <f t="shared" si="18"/>
        <v>84.662275374495451</v>
      </c>
      <c r="J48" s="82">
        <f t="shared" si="18"/>
        <v>69.721873837819786</v>
      </c>
      <c r="K48" s="82">
        <f t="shared" si="18"/>
        <v>57.418013748792767</v>
      </c>
      <c r="L48" s="82">
        <f t="shared" si="18"/>
        <v>47.285423087241099</v>
      </c>
      <c r="M48" s="82">
        <f t="shared" si="18"/>
        <v>38.940936660080908</v>
      </c>
      <c r="N48" s="82">
        <f t="shared" si="18"/>
        <v>32.069006661243101</v>
      </c>
      <c r="O48" s="82">
        <f t="shared" si="18"/>
        <v>26.409770191611965</v>
      </c>
      <c r="P48" s="82">
        <f t="shared" si="18"/>
        <v>21.749222510739266</v>
      </c>
      <c r="Q48" s="82">
        <f t="shared" si="18"/>
        <v>17.911124420608807</v>
      </c>
      <c r="R48" s="82">
        <f t="shared" si="18"/>
        <v>14.750337758148429</v>
      </c>
      <c r="S48" s="82">
        <f t="shared" si="18"/>
        <v>12.147336977298707</v>
      </c>
      <c r="T48" s="82">
        <f t="shared" si="18"/>
        <v>10.003689275422465</v>
      </c>
      <c r="U48" s="82">
        <f t="shared" si="18"/>
        <v>8.2383323444655598</v>
      </c>
      <c r="V48" s="82">
        <f t="shared" si="18"/>
        <v>6.7845089895598729</v>
      </c>
      <c r="W48" s="82">
        <f t="shared" si="18"/>
        <v>5.5872426972846014</v>
      </c>
      <c r="X48" s="82">
        <f>W51</f>
        <v>4.6012586918814362</v>
      </c>
      <c r="Y48" s="82">
        <f>X51</f>
        <v>3.7892718639023593</v>
      </c>
      <c r="Z48" s="82">
        <f>Y51</f>
        <v>3.1205768290960605</v>
      </c>
      <c r="AA48" s="82">
        <f>Z51</f>
        <v>2.5698868004320499</v>
      </c>
    </row>
    <row r="49" spans="1:27" s="84" customFormat="1" x14ac:dyDescent="0.25">
      <c r="A49" s="85" t="str">
        <f>A$25</f>
        <v>Depreciation</v>
      </c>
      <c r="B49" s="85"/>
      <c r="C49" s="85"/>
      <c r="D49" s="82">
        <f t="shared" ref="D49:W49" si="19">$D$10*(D48+D50*0.5)</f>
        <v>39.442705614958982</v>
      </c>
      <c r="E49" s="82">
        <f t="shared" si="19"/>
        <v>32.482228153495633</v>
      </c>
      <c r="F49" s="82">
        <f t="shared" si="19"/>
        <v>26.750070244055227</v>
      </c>
      <c r="G49" s="82">
        <f t="shared" si="19"/>
        <v>22.029469612751363</v>
      </c>
      <c r="H49" s="82">
        <f t="shared" si="19"/>
        <v>18.141916151677595</v>
      </c>
      <c r="I49" s="82">
        <f t="shared" si="19"/>
        <v>14.940401536675667</v>
      </c>
      <c r="J49" s="82">
        <f t="shared" si="19"/>
        <v>12.303860089027021</v>
      </c>
      <c r="K49" s="82">
        <f t="shared" si="19"/>
        <v>10.132590661551664</v>
      </c>
      <c r="L49" s="82">
        <f t="shared" si="19"/>
        <v>8.3444864271601933</v>
      </c>
      <c r="M49" s="82">
        <f t="shared" si="19"/>
        <v>6.8719299988378069</v>
      </c>
      <c r="N49" s="82">
        <f t="shared" si="19"/>
        <v>5.6592364696311348</v>
      </c>
      <c r="O49" s="82">
        <f t="shared" si="19"/>
        <v>4.6605476808726998</v>
      </c>
      <c r="P49" s="82">
        <f t="shared" si="19"/>
        <v>3.8380980901304582</v>
      </c>
      <c r="Q49" s="82">
        <f t="shared" si="19"/>
        <v>3.1607866624603775</v>
      </c>
      <c r="R49" s="82">
        <f t="shared" si="19"/>
        <v>2.6030007808497224</v>
      </c>
      <c r="S49" s="82">
        <f t="shared" si="19"/>
        <v>2.1436477018762421</v>
      </c>
      <c r="T49" s="82">
        <f t="shared" si="19"/>
        <v>1.7653569309569055</v>
      </c>
      <c r="U49" s="82">
        <f t="shared" si="19"/>
        <v>1.4538233549056869</v>
      </c>
      <c r="V49" s="82">
        <f t="shared" si="19"/>
        <v>1.1972662922752715</v>
      </c>
      <c r="W49" s="82">
        <f t="shared" si="19"/>
        <v>0.98598400540316489</v>
      </c>
      <c r="X49" s="82">
        <f>$D$10*(X48+X50*0.5)</f>
        <v>0.81198682797907695</v>
      </c>
      <c r="Y49" s="82">
        <f>$D$10*(Y48+Y50*0.5)</f>
        <v>0.66869503480629866</v>
      </c>
      <c r="Z49" s="82">
        <f>$D$10*(Z48+Z50*0.5)</f>
        <v>0.55069002866401062</v>
      </c>
      <c r="AA49" s="82">
        <f>$D$10*(AA48+AA50*0.5)</f>
        <v>0.4535094353703617</v>
      </c>
    </row>
    <row r="50" spans="1:27" s="84" customFormat="1" x14ac:dyDescent="0.25">
      <c r="A50" s="85" t="str">
        <f>A$26</f>
        <v>Gross capex</v>
      </c>
      <c r="B50" s="85"/>
      <c r="C50" s="85"/>
      <c r="D50" s="82">
        <f t="shared" ref="D50:W50" si="20">D20</f>
        <v>0</v>
      </c>
      <c r="E50" s="82">
        <f t="shared" si="20"/>
        <v>0</v>
      </c>
      <c r="F50" s="82">
        <f t="shared" si="20"/>
        <v>0</v>
      </c>
      <c r="G50" s="82">
        <f t="shared" si="20"/>
        <v>0</v>
      </c>
      <c r="H50" s="82">
        <f t="shared" si="20"/>
        <v>0</v>
      </c>
      <c r="I50" s="82">
        <f t="shared" si="20"/>
        <v>0</v>
      </c>
      <c r="J50" s="82">
        <f t="shared" si="20"/>
        <v>0</v>
      </c>
      <c r="K50" s="82">
        <f t="shared" si="20"/>
        <v>0</v>
      </c>
      <c r="L50" s="82">
        <f t="shared" si="20"/>
        <v>0</v>
      </c>
      <c r="M50" s="82">
        <f t="shared" si="20"/>
        <v>0</v>
      </c>
      <c r="N50" s="82">
        <f t="shared" si="20"/>
        <v>0</v>
      </c>
      <c r="O50" s="82">
        <f t="shared" si="20"/>
        <v>0</v>
      </c>
      <c r="P50" s="82">
        <f t="shared" si="20"/>
        <v>0</v>
      </c>
      <c r="Q50" s="82">
        <f t="shared" si="20"/>
        <v>0</v>
      </c>
      <c r="R50" s="82">
        <f t="shared" si="20"/>
        <v>0</v>
      </c>
      <c r="S50" s="82">
        <f t="shared" si="20"/>
        <v>0</v>
      </c>
      <c r="T50" s="82">
        <f t="shared" si="20"/>
        <v>0</v>
      </c>
      <c r="U50" s="82">
        <f t="shared" si="20"/>
        <v>0</v>
      </c>
      <c r="V50" s="82">
        <f t="shared" si="20"/>
        <v>0</v>
      </c>
      <c r="W50" s="82">
        <f t="shared" si="20"/>
        <v>0</v>
      </c>
      <c r="X50" s="82">
        <f>X20</f>
        <v>0</v>
      </c>
      <c r="Y50" s="82">
        <f>Y20</f>
        <v>0</v>
      </c>
      <c r="Z50" s="82">
        <f>Z20</f>
        <v>0</v>
      </c>
      <c r="AA50" s="82">
        <f>AA20</f>
        <v>0</v>
      </c>
    </row>
    <row r="51" spans="1:27" s="84" customFormat="1" x14ac:dyDescent="0.25">
      <c r="A51" s="85" t="str">
        <f>A$27</f>
        <v>Closing asset value</v>
      </c>
      <c r="B51" s="85"/>
      <c r="C51" s="85"/>
      <c r="D51" s="109">
        <f t="shared" ref="D51:W51" si="21">D48-D49+D50</f>
        <v>184.06595953647528</v>
      </c>
      <c r="E51" s="109">
        <f t="shared" si="21"/>
        <v>151.58373138297964</v>
      </c>
      <c r="F51" s="109">
        <f t="shared" si="21"/>
        <v>124.83366113892441</v>
      </c>
      <c r="G51" s="109">
        <f t="shared" si="21"/>
        <v>102.80419152617304</v>
      </c>
      <c r="H51" s="109">
        <f t="shared" si="21"/>
        <v>84.662275374495451</v>
      </c>
      <c r="I51" s="109">
        <f t="shared" si="21"/>
        <v>69.721873837819786</v>
      </c>
      <c r="J51" s="109">
        <f t="shared" si="21"/>
        <v>57.418013748792767</v>
      </c>
      <c r="K51" s="109">
        <f t="shared" si="21"/>
        <v>47.285423087241099</v>
      </c>
      <c r="L51" s="109">
        <f t="shared" si="21"/>
        <v>38.940936660080908</v>
      </c>
      <c r="M51" s="109">
        <f t="shared" si="21"/>
        <v>32.069006661243101</v>
      </c>
      <c r="N51" s="109">
        <f t="shared" si="21"/>
        <v>26.409770191611965</v>
      </c>
      <c r="O51" s="109">
        <f t="shared" si="21"/>
        <v>21.749222510739266</v>
      </c>
      <c r="P51" s="109">
        <f t="shared" si="21"/>
        <v>17.911124420608807</v>
      </c>
      <c r="Q51" s="109">
        <f t="shared" si="21"/>
        <v>14.750337758148429</v>
      </c>
      <c r="R51" s="109">
        <f t="shared" si="21"/>
        <v>12.147336977298707</v>
      </c>
      <c r="S51" s="109">
        <f t="shared" si="21"/>
        <v>10.003689275422465</v>
      </c>
      <c r="T51" s="109">
        <f t="shared" si="21"/>
        <v>8.2383323444655598</v>
      </c>
      <c r="U51" s="109">
        <f t="shared" si="21"/>
        <v>6.7845089895598729</v>
      </c>
      <c r="V51" s="109">
        <f t="shared" si="21"/>
        <v>5.5872426972846014</v>
      </c>
      <c r="W51" s="109">
        <f t="shared" si="21"/>
        <v>4.6012586918814362</v>
      </c>
      <c r="X51" s="109">
        <f>X48-X49+X50</f>
        <v>3.7892718639023593</v>
      </c>
      <c r="Y51" s="109">
        <f>Y48-Y49+Y50</f>
        <v>3.1205768290960605</v>
      </c>
      <c r="Z51" s="109">
        <f>Z48-Z49+Z50</f>
        <v>2.5698868004320499</v>
      </c>
      <c r="AA51" s="109">
        <f>AA48-AA49+AA50</f>
        <v>2.1163773650616884</v>
      </c>
    </row>
    <row r="52" spans="1:27" s="84" customFormat="1" x14ac:dyDescent="0.25">
      <c r="A52" s="85"/>
      <c r="B52" s="85"/>
      <c r="C52" s="85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</row>
    <row r="53" spans="1:27" s="84" customFormat="1" x14ac:dyDescent="0.25">
      <c r="A53" s="85"/>
      <c r="B53" s="85"/>
      <c r="C53" s="85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</row>
    <row r="54" spans="1:27" s="84" customFormat="1" x14ac:dyDescent="0.25">
      <c r="A54" s="455" t="s">
        <v>45</v>
      </c>
      <c r="B54" s="455"/>
      <c r="C54" s="455"/>
      <c r="D54" s="468">
        <f t="shared" ref="D54:AA54" si="22">D$13</f>
        <v>2009</v>
      </c>
      <c r="E54" s="468">
        <f t="shared" si="22"/>
        <v>2010</v>
      </c>
      <c r="F54" s="468">
        <f t="shared" si="22"/>
        <v>2011</v>
      </c>
      <c r="G54" s="468">
        <f t="shared" si="22"/>
        <v>2012</v>
      </c>
      <c r="H54" s="468">
        <f t="shared" si="22"/>
        <v>2013</v>
      </c>
      <c r="I54" s="468">
        <f t="shared" si="22"/>
        <v>2014</v>
      </c>
      <c r="J54" s="468">
        <f t="shared" si="22"/>
        <v>2015</v>
      </c>
      <c r="K54" s="468">
        <f t="shared" si="22"/>
        <v>2016</v>
      </c>
      <c r="L54" s="468">
        <f t="shared" si="22"/>
        <v>2017</v>
      </c>
      <c r="M54" s="468">
        <f t="shared" si="22"/>
        <v>2018</v>
      </c>
      <c r="N54" s="468">
        <f t="shared" si="22"/>
        <v>2019</v>
      </c>
      <c r="O54" s="468">
        <f t="shared" si="22"/>
        <v>2020</v>
      </c>
      <c r="P54" s="468">
        <f t="shared" si="22"/>
        <v>2021</v>
      </c>
      <c r="Q54" s="468">
        <f t="shared" si="22"/>
        <v>2022</v>
      </c>
      <c r="R54" s="468">
        <f t="shared" si="22"/>
        <v>2023</v>
      </c>
      <c r="S54" s="468">
        <f t="shared" si="22"/>
        <v>2024</v>
      </c>
      <c r="T54" s="468">
        <f t="shared" si="22"/>
        <v>2025</v>
      </c>
      <c r="U54" s="468">
        <f t="shared" si="22"/>
        <v>2026</v>
      </c>
      <c r="V54" s="468">
        <f t="shared" si="22"/>
        <v>2027</v>
      </c>
      <c r="W54" s="468">
        <f t="shared" si="22"/>
        <v>2028</v>
      </c>
      <c r="X54" s="468">
        <f t="shared" si="22"/>
        <v>2029</v>
      </c>
      <c r="Y54" s="468">
        <f t="shared" si="22"/>
        <v>2030</v>
      </c>
      <c r="Z54" s="468">
        <f t="shared" si="22"/>
        <v>2031</v>
      </c>
      <c r="AA54" s="468">
        <f t="shared" si="22"/>
        <v>2032</v>
      </c>
    </row>
    <row r="55" spans="1:27" s="84" customFormat="1" x14ac:dyDescent="0.25">
      <c r="A55" s="85" t="str">
        <f>A$24</f>
        <v>Opening asset value</v>
      </c>
      <c r="B55" s="85"/>
      <c r="C55" s="85"/>
      <c r="D55" s="82">
        <f t="shared" ref="D55:W55" si="23">SUM(D24,D30,D36,D42,D48)</f>
        <v>26957.142252657191</v>
      </c>
      <c r="E55" s="82">
        <f t="shared" si="23"/>
        <v>47626.069102076945</v>
      </c>
      <c r="F55" s="82">
        <f t="shared" si="23"/>
        <v>101589.84266911157</v>
      </c>
      <c r="G55" s="82">
        <f t="shared" si="23"/>
        <v>155648.98232600818</v>
      </c>
      <c r="H55" s="82">
        <f t="shared" si="23"/>
        <v>214575.96715261645</v>
      </c>
      <c r="I55" s="82">
        <f t="shared" si="23"/>
        <v>239156.55236742334</v>
      </c>
      <c r="J55" s="82">
        <f t="shared" si="23"/>
        <v>204715.09607239335</v>
      </c>
      <c r="K55" s="82">
        <f t="shared" si="23"/>
        <v>180308.91322318214</v>
      </c>
      <c r="L55" s="82">
        <f t="shared" si="23"/>
        <v>117480.2017941451</v>
      </c>
      <c r="M55" s="82">
        <f t="shared" si="23"/>
        <v>77442.960565972113</v>
      </c>
      <c r="N55" s="82">
        <f t="shared" si="23"/>
        <v>51712.726953517544</v>
      </c>
      <c r="O55" s="82">
        <f t="shared" si="23"/>
        <v>35014.340747030925</v>
      </c>
      <c r="P55" s="82">
        <f t="shared" si="23"/>
        <v>24056.143359228936</v>
      </c>
      <c r="Q55" s="82">
        <f t="shared" si="23"/>
        <v>16775.189798569416</v>
      </c>
      <c r="R55" s="82">
        <f t="shared" si="23"/>
        <v>11871.791748236921</v>
      </c>
      <c r="S55" s="82">
        <f t="shared" si="23"/>
        <v>8521.9722187989883</v>
      </c>
      <c r="T55" s="82">
        <f t="shared" si="23"/>
        <v>6199.4497280560872</v>
      </c>
      <c r="U55" s="82">
        <f t="shared" si="23"/>
        <v>4565.1476821865772</v>
      </c>
      <c r="V55" s="82">
        <f t="shared" si="23"/>
        <v>3398.4022775182707</v>
      </c>
      <c r="W55" s="82">
        <f t="shared" si="23"/>
        <v>2553.9713511444206</v>
      </c>
      <c r="X55" s="82">
        <f t="shared" ref="X55:AA58" si="24">SUM(X24,X30,X36,X42,X48)</f>
        <v>1935.0456162051303</v>
      </c>
      <c r="Y55" s="82">
        <f t="shared" si="24"/>
        <v>1476.213523900064</v>
      </c>
      <c r="Z55" s="82">
        <f t="shared" si="24"/>
        <v>1132.6389016667249</v>
      </c>
      <c r="AA55" s="82">
        <f t="shared" si="24"/>
        <v>873.13272248216617</v>
      </c>
    </row>
    <row r="56" spans="1:27" s="84" customFormat="1" x14ac:dyDescent="0.25">
      <c r="A56" s="85" t="str">
        <f>A$25</f>
        <v>Depreciation</v>
      </c>
      <c r="B56" s="85"/>
      <c r="C56" s="85"/>
      <c r="D56" s="82">
        <f t="shared" ref="D56:W56" si="25">SUM(D25,D31,D37,D43,D49)</f>
        <v>17924.793557809913</v>
      </c>
      <c r="E56" s="82">
        <f t="shared" si="25"/>
        <v>34884.310466703391</v>
      </c>
      <c r="F56" s="82">
        <f t="shared" si="25"/>
        <v>58635.296511139466</v>
      </c>
      <c r="G56" s="82">
        <f t="shared" si="25"/>
        <v>81911.417254297587</v>
      </c>
      <c r="H56" s="82">
        <f t="shared" si="25"/>
        <v>97792.91641196399</v>
      </c>
      <c r="I56" s="82">
        <f t="shared" si="25"/>
        <v>94802.31598010131</v>
      </c>
      <c r="J56" s="82">
        <f t="shared" si="25"/>
        <v>82137.223945447055</v>
      </c>
      <c r="K56" s="82">
        <f t="shared" si="25"/>
        <v>62828.711429037023</v>
      </c>
      <c r="L56" s="82">
        <f t="shared" si="25"/>
        <v>40037.241228172963</v>
      </c>
      <c r="M56" s="82">
        <f t="shared" si="25"/>
        <v>25730.23361245458</v>
      </c>
      <c r="N56" s="82">
        <f t="shared" si="25"/>
        <v>16698.386206486608</v>
      </c>
      <c r="O56" s="82">
        <f t="shared" si="25"/>
        <v>10958.197387801991</v>
      </c>
      <c r="P56" s="82">
        <f t="shared" si="25"/>
        <v>7280.9535606595209</v>
      </c>
      <c r="Q56" s="82">
        <f t="shared" si="25"/>
        <v>4903.3980503324929</v>
      </c>
      <c r="R56" s="82">
        <f t="shared" si="25"/>
        <v>3349.8195294379348</v>
      </c>
      <c r="S56" s="82">
        <f t="shared" si="25"/>
        <v>2322.5224907428983</v>
      </c>
      <c r="T56" s="82">
        <f t="shared" si="25"/>
        <v>1634.3020458695105</v>
      </c>
      <c r="U56" s="82">
        <f t="shared" si="25"/>
        <v>1166.7454046683069</v>
      </c>
      <c r="V56" s="82">
        <f t="shared" si="25"/>
        <v>844.43092637384984</v>
      </c>
      <c r="W56" s="82">
        <f t="shared" si="25"/>
        <v>618.92573493929024</v>
      </c>
      <c r="X56" s="82">
        <f t="shared" si="24"/>
        <v>458.83209230506606</v>
      </c>
      <c r="Y56" s="82">
        <f t="shared" si="24"/>
        <v>343.57462223333908</v>
      </c>
      <c r="Z56" s="82">
        <f t="shared" si="24"/>
        <v>259.50617918455885</v>
      </c>
      <c r="AA56" s="82">
        <f t="shared" si="24"/>
        <v>197.45468572386304</v>
      </c>
    </row>
    <row r="57" spans="1:27" s="84" customFormat="1" x14ac:dyDescent="0.25">
      <c r="A57" s="85" t="str">
        <f>A$26</f>
        <v>Gross capex</v>
      </c>
      <c r="B57" s="85"/>
      <c r="C57" s="85"/>
      <c r="D57" s="82">
        <f t="shared" ref="D57:W57" si="26">SUM(D26,D32,D38,D44,D50)</f>
        <v>38593.720407229659</v>
      </c>
      <c r="E57" s="82">
        <f t="shared" si="26"/>
        <v>88848.084033738007</v>
      </c>
      <c r="F57" s="82">
        <f t="shared" si="26"/>
        <v>112694.4361680361</v>
      </c>
      <c r="G57" s="82">
        <f t="shared" si="26"/>
        <v>140838.40208090586</v>
      </c>
      <c r="H57" s="82">
        <f t="shared" si="26"/>
        <v>122373.5016267709</v>
      </c>
      <c r="I57" s="82">
        <f t="shared" si="26"/>
        <v>60360.859685071293</v>
      </c>
      <c r="J57" s="82">
        <f t="shared" si="26"/>
        <v>57731.0410962358</v>
      </c>
      <c r="K57" s="82">
        <f t="shared" si="26"/>
        <v>0</v>
      </c>
      <c r="L57" s="82">
        <f t="shared" si="26"/>
        <v>0</v>
      </c>
      <c r="M57" s="82">
        <f t="shared" si="26"/>
        <v>0</v>
      </c>
      <c r="N57" s="82">
        <f t="shared" si="26"/>
        <v>0</v>
      </c>
      <c r="O57" s="82">
        <f t="shared" si="26"/>
        <v>0</v>
      </c>
      <c r="P57" s="82">
        <f t="shared" si="26"/>
        <v>0</v>
      </c>
      <c r="Q57" s="82">
        <f t="shared" si="26"/>
        <v>0</v>
      </c>
      <c r="R57" s="82">
        <f t="shared" si="26"/>
        <v>0</v>
      </c>
      <c r="S57" s="82">
        <f t="shared" si="26"/>
        <v>0</v>
      </c>
      <c r="T57" s="82">
        <f t="shared" si="26"/>
        <v>0</v>
      </c>
      <c r="U57" s="82">
        <f t="shared" si="26"/>
        <v>0</v>
      </c>
      <c r="V57" s="82">
        <f t="shared" si="26"/>
        <v>0</v>
      </c>
      <c r="W57" s="82">
        <f t="shared" si="26"/>
        <v>0</v>
      </c>
      <c r="X57" s="82">
        <f t="shared" si="24"/>
        <v>0</v>
      </c>
      <c r="Y57" s="82">
        <f t="shared" si="24"/>
        <v>0</v>
      </c>
      <c r="Z57" s="82">
        <f t="shared" si="24"/>
        <v>0</v>
      </c>
      <c r="AA57" s="82">
        <f t="shared" si="24"/>
        <v>0</v>
      </c>
    </row>
    <row r="58" spans="1:27" s="84" customFormat="1" x14ac:dyDescent="0.25">
      <c r="A58" s="85" t="str">
        <f>A$27</f>
        <v>Closing asset value</v>
      </c>
      <c r="B58" s="85"/>
      <c r="C58" s="85"/>
      <c r="D58" s="109">
        <f t="shared" ref="D58:W58" si="27">SUM(D27,D33,D39,D45,D51)</f>
        <v>47626.069102076945</v>
      </c>
      <c r="E58" s="109">
        <f t="shared" si="27"/>
        <v>101589.84266911157</v>
      </c>
      <c r="F58" s="109">
        <f t="shared" si="27"/>
        <v>155648.98232600818</v>
      </c>
      <c r="G58" s="109">
        <f t="shared" si="27"/>
        <v>214575.96715261645</v>
      </c>
      <c r="H58" s="109">
        <f t="shared" si="27"/>
        <v>239156.55236742334</v>
      </c>
      <c r="I58" s="109">
        <f t="shared" si="27"/>
        <v>204715.09607239335</v>
      </c>
      <c r="J58" s="109">
        <f t="shared" si="27"/>
        <v>180308.91322318214</v>
      </c>
      <c r="K58" s="109">
        <f t="shared" si="27"/>
        <v>117480.2017941451</v>
      </c>
      <c r="L58" s="109">
        <f t="shared" si="27"/>
        <v>77442.960565972113</v>
      </c>
      <c r="M58" s="109">
        <f t="shared" si="27"/>
        <v>51712.726953517544</v>
      </c>
      <c r="N58" s="109">
        <f t="shared" si="27"/>
        <v>35014.340747030925</v>
      </c>
      <c r="O58" s="109">
        <f t="shared" si="27"/>
        <v>24056.143359228936</v>
      </c>
      <c r="P58" s="109">
        <f t="shared" si="27"/>
        <v>16775.189798569416</v>
      </c>
      <c r="Q58" s="109">
        <f t="shared" si="27"/>
        <v>11871.791748236921</v>
      </c>
      <c r="R58" s="109">
        <f t="shared" si="27"/>
        <v>8521.9722187989883</v>
      </c>
      <c r="S58" s="109">
        <f t="shared" si="27"/>
        <v>6199.4497280560872</v>
      </c>
      <c r="T58" s="109">
        <f t="shared" si="27"/>
        <v>4565.1476821865772</v>
      </c>
      <c r="U58" s="109">
        <f t="shared" si="27"/>
        <v>3398.4022775182707</v>
      </c>
      <c r="V58" s="109">
        <f t="shared" si="27"/>
        <v>2553.9713511444206</v>
      </c>
      <c r="W58" s="109">
        <f t="shared" si="27"/>
        <v>1935.0456162051303</v>
      </c>
      <c r="X58" s="109">
        <f t="shared" si="24"/>
        <v>1476.213523900064</v>
      </c>
      <c r="Y58" s="109">
        <f t="shared" si="24"/>
        <v>1132.6389016667249</v>
      </c>
      <c r="Z58" s="109">
        <f t="shared" si="24"/>
        <v>873.13272248216617</v>
      </c>
      <c r="AA58" s="109">
        <f t="shared" si="24"/>
        <v>675.67803675830316</v>
      </c>
    </row>
    <row r="59" spans="1:27" s="84" customFormat="1" x14ac:dyDescent="0.25">
      <c r="A59" s="561" t="s">
        <v>0</v>
      </c>
      <c r="B59" s="557"/>
      <c r="C59" s="557">
        <f>SUM(D59:AA59)</f>
        <v>2.7387159207137302E-10</v>
      </c>
      <c r="D59" s="560">
        <f>ABS(D55-D56+D57-D58)</f>
        <v>7.2759576141834259E-12</v>
      </c>
      <c r="E59" s="560">
        <f t="shared" ref="E59:W59" si="28">ABS(E55-E56+E57-E58)</f>
        <v>1.4551915228366852E-11</v>
      </c>
      <c r="F59" s="560">
        <f t="shared" si="28"/>
        <v>2.9103830456733704E-11</v>
      </c>
      <c r="G59" s="560">
        <f t="shared" si="28"/>
        <v>0</v>
      </c>
      <c r="H59" s="560">
        <f t="shared" si="28"/>
        <v>2.9103830456733704E-11</v>
      </c>
      <c r="I59" s="560">
        <f t="shared" si="28"/>
        <v>5.8207660913467407E-11</v>
      </c>
      <c r="J59" s="560">
        <f t="shared" si="28"/>
        <v>5.8207660913467407E-11</v>
      </c>
      <c r="K59" s="560">
        <f t="shared" si="28"/>
        <v>1.4551915228366852E-11</v>
      </c>
      <c r="L59" s="560">
        <f t="shared" si="28"/>
        <v>2.9103830456733704E-11</v>
      </c>
      <c r="M59" s="560">
        <f t="shared" si="28"/>
        <v>1.4551915228366852E-11</v>
      </c>
      <c r="N59" s="560">
        <f t="shared" si="28"/>
        <v>7.2759576141834259E-12</v>
      </c>
      <c r="O59" s="560">
        <f t="shared" si="28"/>
        <v>3.637978807091713E-12</v>
      </c>
      <c r="P59" s="560">
        <f t="shared" si="28"/>
        <v>0</v>
      </c>
      <c r="Q59" s="560">
        <f t="shared" si="28"/>
        <v>1.8189894035458565E-12</v>
      </c>
      <c r="R59" s="560">
        <f t="shared" si="28"/>
        <v>1.8189894035458565E-12</v>
      </c>
      <c r="S59" s="560">
        <f t="shared" si="28"/>
        <v>2.7284841053187847E-12</v>
      </c>
      <c r="T59" s="560">
        <f t="shared" si="28"/>
        <v>9.0949470177292824E-13</v>
      </c>
      <c r="U59" s="560">
        <f t="shared" si="28"/>
        <v>4.5474735088646412E-13</v>
      </c>
      <c r="V59" s="560">
        <f t="shared" si="28"/>
        <v>0</v>
      </c>
      <c r="W59" s="560">
        <f t="shared" si="28"/>
        <v>2.2737367544323206E-13</v>
      </c>
      <c r="X59" s="560">
        <f>ABS(X55-X56+X57-X58)</f>
        <v>2.2737367544323206E-13</v>
      </c>
      <c r="Y59" s="560">
        <f>ABS(Y55-Y56+Y57-Y58)</f>
        <v>0</v>
      </c>
      <c r="Z59" s="560">
        <f>ABS(Z55-Z56+Z57-Z58)</f>
        <v>1.1368683772161603E-13</v>
      </c>
      <c r="AA59" s="560">
        <f>ABS(AA55-AA56+AA57-AA58)</f>
        <v>0</v>
      </c>
    </row>
  </sheetData>
  <phoneticPr fontId="4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PTRM Inputs</vt:lpstr>
      <vt:lpstr>Instructions</vt:lpstr>
      <vt:lpstr>DNSP Data Inputs 2013-15</vt:lpstr>
      <vt:lpstr>Data 2006-08</vt:lpstr>
      <vt:lpstr>Data 2009-12</vt:lpstr>
      <vt:lpstr>Data 2009-15 (Real $2008)</vt:lpstr>
      <vt:lpstr>Tariff Compliance</vt:lpstr>
      <vt:lpstr>AMI Building Blocks 2009-15</vt:lpstr>
      <vt:lpstr>AMI Tax Depn 2009-15</vt:lpstr>
      <vt:lpstr>AMI RAB 2009-15</vt:lpstr>
      <vt:lpstr>Offset of Costs and Rev 2006-08</vt:lpstr>
      <vt:lpstr>IMRO Decision 2006-10</vt:lpstr>
      <vt:lpstr>'Data 2009-12'!Print_Area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Rombo</dc:creator>
  <cp:lastModifiedBy>Mei Kwan See Toh</cp:lastModifiedBy>
  <dcterms:created xsi:type="dcterms:W3CDTF">2009-04-11T02:58:03Z</dcterms:created>
  <dcterms:modified xsi:type="dcterms:W3CDTF">2015-12-04T07:01:27Z</dcterms:modified>
</cp:coreProperties>
</file>