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240" windowWidth="16605" windowHeight="9090" activeTab="2"/>
  </bookViews>
  <sheets>
    <sheet name="Overview" sheetId="28" r:id="rId1"/>
    <sheet name="Summary" sheetId="26" r:id="rId2"/>
    <sheet name="Calc" sheetId="6" r:id="rId3"/>
    <sheet name="Vol special meter read" sheetId="7" r:id="rId4"/>
    <sheet name="Meter replacement volume" sheetId="17" r:id="rId5"/>
    <sheet name="New connections" sheetId="15" r:id="rId6"/>
    <sheet name="IT &amp; Comms opex" sheetId="16" r:id="rId7"/>
    <sheet name="Meter data management" sheetId="27" r:id="rId8"/>
    <sheet name="Meter Reading" sheetId="19" r:id="rId9"/>
    <sheet name="SUMMARY MR" sheetId="20" r:id="rId10"/>
    <sheet name="Actuals + Forecasts" sheetId="21" r:id="rId11"/>
    <sheet name="Resources" sheetId="22" r:id="rId12"/>
    <sheet name="MCFO Work" sheetId="23" r:id="rId13"/>
    <sheet name="Meter Asset Management" sheetId="24" r:id="rId14"/>
  </sheets>
  <externalReferences>
    <externalReference r:id="rId15"/>
    <externalReference r:id="rId16"/>
    <externalReference r:id="rId17"/>
    <externalReference r:id="rId18"/>
  </externalReferences>
  <definedNames>
    <definedName name="CA_BusCaseOptions">[1]BusCase_Options!$C$7:$C$12</definedName>
    <definedName name="CB_Include_CPI">[1]General_assump_BA!$D$38</definedName>
    <definedName name="DD_Chosen_Option">[1]General_assump_BA!$E$10</definedName>
    <definedName name="Err_Chks_Ttl_Areas">[1]Err_Chks_BO!$M$37</definedName>
    <definedName name="RA_BusCaseOptions">[2]BusCase_Options!$D$6:$P$6</definedName>
    <definedName name="Recover">[3]Macro1!$A$76</definedName>
    <definedName name="TableName">"Dummy"</definedName>
  </definedNames>
  <calcPr calcId="145621" calcMode="autoNoTable"/>
</workbook>
</file>

<file path=xl/calcChain.xml><?xml version="1.0" encoding="utf-8"?>
<calcChain xmlns="http://schemas.openxmlformats.org/spreadsheetml/2006/main">
  <c r="J19" i="6" l="1"/>
  <c r="J12" i="26" l="1"/>
  <c r="J10" i="26" l="1"/>
  <c r="C10" i="26"/>
  <c r="B10" i="26"/>
  <c r="I13" i="22"/>
  <c r="H13" i="22"/>
  <c r="F13" i="22"/>
  <c r="D13" i="22"/>
  <c r="G12" i="22"/>
  <c r="E12" i="22"/>
  <c r="G11" i="22"/>
  <c r="E11" i="22"/>
  <c r="G10" i="22"/>
  <c r="E10" i="22"/>
  <c r="G9" i="22"/>
  <c r="E9" i="22"/>
  <c r="G8" i="22"/>
  <c r="E8" i="22"/>
  <c r="G7" i="22"/>
  <c r="E7" i="22"/>
  <c r="G6" i="22"/>
  <c r="E6" i="22"/>
  <c r="G5" i="22"/>
  <c r="E5" i="22"/>
  <c r="M11" i="21"/>
  <c r="L11" i="21"/>
  <c r="K11" i="21"/>
  <c r="J11" i="21"/>
  <c r="I11" i="21"/>
  <c r="H11" i="21"/>
  <c r="G11" i="21"/>
  <c r="F11" i="21"/>
  <c r="E11" i="21"/>
  <c r="D11" i="21"/>
  <c r="C11" i="21"/>
  <c r="M10" i="21"/>
  <c r="L10" i="21"/>
  <c r="K10" i="21"/>
  <c r="J10" i="21"/>
  <c r="I10" i="21"/>
  <c r="H10" i="21"/>
  <c r="G10" i="21"/>
  <c r="F10" i="21"/>
  <c r="E10" i="21"/>
  <c r="D10" i="21"/>
  <c r="C10" i="21"/>
  <c r="M9" i="21"/>
  <c r="L9" i="21"/>
  <c r="K9" i="21"/>
  <c r="J9" i="21"/>
  <c r="I9" i="21"/>
  <c r="H9" i="21"/>
  <c r="G9" i="21"/>
  <c r="F9" i="21"/>
  <c r="E9" i="21"/>
  <c r="D9" i="21"/>
  <c r="C9" i="21"/>
  <c r="F21" i="26"/>
  <c r="O21" i="26"/>
  <c r="G21" i="26"/>
  <c r="P21" i="26"/>
  <c r="H21" i="26"/>
  <c r="Q21" i="26"/>
  <c r="I21" i="26"/>
  <c r="R21" i="26"/>
  <c r="E21" i="26"/>
  <c r="N21" i="26"/>
  <c r="I19" i="26"/>
  <c r="I20" i="26"/>
  <c r="I22" i="26"/>
  <c r="D23" i="26"/>
  <c r="E23" i="26"/>
  <c r="F23" i="26"/>
  <c r="G23" i="26"/>
  <c r="H23" i="26"/>
  <c r="I23" i="26"/>
  <c r="I32" i="26"/>
  <c r="H19" i="26"/>
  <c r="H20" i="26"/>
  <c r="H22" i="26"/>
  <c r="H32" i="26"/>
  <c r="G19" i="26"/>
  <c r="G20" i="26"/>
  <c r="G22" i="26"/>
  <c r="G32" i="26"/>
  <c r="F19" i="26"/>
  <c r="F20" i="26"/>
  <c r="F22" i="26"/>
  <c r="F32" i="26"/>
  <c r="E19" i="26"/>
  <c r="E20" i="26"/>
  <c r="E22" i="26"/>
  <c r="E32" i="26"/>
  <c r="D19" i="26"/>
  <c r="D20" i="26"/>
  <c r="D21" i="26"/>
  <c r="D22" i="26"/>
  <c r="D32" i="26"/>
  <c r="J26" i="26"/>
  <c r="J27" i="26"/>
  <c r="C31" i="26"/>
  <c r="B31" i="26"/>
  <c r="O23" i="26"/>
  <c r="P23" i="26"/>
  <c r="Q23" i="26"/>
  <c r="R23" i="26"/>
  <c r="N23" i="26"/>
  <c r="D13" i="27"/>
  <c r="K6" i="24"/>
  <c r="D35" i="24"/>
  <c r="R19" i="24"/>
  <c r="D34" i="24"/>
  <c r="F13" i="27"/>
  <c r="L6" i="24"/>
  <c r="E35" i="24"/>
  <c r="S19" i="24"/>
  <c r="E34" i="24"/>
  <c r="H13" i="27"/>
  <c r="M6" i="24"/>
  <c r="F35" i="24"/>
  <c r="T19" i="24"/>
  <c r="F34" i="24"/>
  <c r="J13" i="27"/>
  <c r="N6" i="24"/>
  <c r="G35" i="24"/>
  <c r="U19" i="24"/>
  <c r="G34" i="24"/>
  <c r="L13" i="27"/>
  <c r="O6" i="24"/>
  <c r="H35" i="24"/>
  <c r="V19" i="24"/>
  <c r="H34" i="24"/>
  <c r="J32" i="26"/>
  <c r="I27" i="19"/>
  <c r="E18" i="26"/>
  <c r="J25" i="26"/>
  <c r="J24" i="26"/>
  <c r="J23" i="26"/>
  <c r="J22" i="26"/>
  <c r="J21" i="26"/>
  <c r="J20" i="26"/>
  <c r="J19" i="26"/>
  <c r="B11" i="27"/>
  <c r="B13" i="27"/>
  <c r="B12" i="27"/>
  <c r="L12" i="27"/>
  <c r="J12" i="27"/>
  <c r="H12" i="27"/>
  <c r="F12" i="27"/>
  <c r="D12" i="27"/>
  <c r="L11" i="27"/>
  <c r="J11" i="27"/>
  <c r="H11" i="27"/>
  <c r="F11" i="27"/>
  <c r="D11" i="27"/>
  <c r="J6" i="24"/>
  <c r="C35" i="24"/>
  <c r="Q19" i="24"/>
  <c r="C34" i="24"/>
  <c r="R20" i="26"/>
  <c r="Q19" i="26"/>
  <c r="P20" i="26"/>
  <c r="O20" i="26"/>
  <c r="N20" i="26"/>
  <c r="D8" i="17"/>
  <c r="E8" i="17"/>
  <c r="F8" i="17"/>
  <c r="G8" i="17"/>
  <c r="H8" i="17"/>
  <c r="C8" i="17"/>
  <c r="H29" i="16"/>
  <c r="J19" i="16"/>
  <c r="I19" i="16"/>
  <c r="G19" i="16"/>
  <c r="F19" i="16"/>
  <c r="E19" i="16"/>
  <c r="J29" i="16"/>
  <c r="I29" i="16"/>
  <c r="G29" i="16"/>
  <c r="E29" i="16"/>
  <c r="A25" i="24"/>
  <c r="H36" i="24"/>
  <c r="G36" i="24"/>
  <c r="F36" i="24"/>
  <c r="E36" i="24"/>
  <c r="D36" i="24"/>
  <c r="C36" i="24"/>
  <c r="V20" i="24"/>
  <c r="U20" i="24"/>
  <c r="T20" i="24"/>
  <c r="S20" i="24"/>
  <c r="R20" i="24"/>
  <c r="Q20" i="24"/>
  <c r="O7" i="24"/>
  <c r="N7" i="24"/>
  <c r="M7" i="24"/>
  <c r="L7" i="24"/>
  <c r="K7" i="24"/>
  <c r="J7" i="24"/>
  <c r="B32" i="23"/>
  <c r="B31" i="23"/>
  <c r="B30" i="23"/>
  <c r="B29" i="23"/>
  <c r="K27" i="23"/>
  <c r="C21" i="21"/>
  <c r="C22" i="21"/>
  <c r="C23" i="21"/>
  <c r="C24" i="21"/>
  <c r="J27" i="23"/>
  <c r="I27" i="23"/>
  <c r="H27" i="23"/>
  <c r="B28" i="23"/>
  <c r="B27" i="23"/>
  <c r="B26" i="23"/>
  <c r="B25" i="23"/>
  <c r="B24" i="23"/>
  <c r="B23" i="23"/>
  <c r="M22" i="23"/>
  <c r="B22" i="23"/>
  <c r="B21" i="23"/>
  <c r="F18" i="23"/>
  <c r="L20" i="23"/>
  <c r="F20" i="23"/>
  <c r="B20" i="23"/>
  <c r="B19" i="23"/>
  <c r="B18" i="23"/>
  <c r="B17" i="23"/>
  <c r="B16" i="23"/>
  <c r="CG4" i="23"/>
  <c r="CG5" i="23"/>
  <c r="CG6" i="23"/>
  <c r="CG7" i="23"/>
  <c r="CG8" i="23"/>
  <c r="CG9" i="23"/>
  <c r="CG10" i="23"/>
  <c r="CG11" i="23"/>
  <c r="CG12" i="23"/>
  <c r="CG13" i="23"/>
  <c r="C15" i="21"/>
  <c r="C16" i="21"/>
  <c r="D15" i="21"/>
  <c r="D16" i="21"/>
  <c r="E15" i="21"/>
  <c r="E16" i="21"/>
  <c r="F15" i="21"/>
  <c r="F16" i="21"/>
  <c r="G15" i="21"/>
  <c r="G16" i="21"/>
  <c r="H15" i="21"/>
  <c r="H16" i="21"/>
  <c r="I15" i="21"/>
  <c r="I16" i="21"/>
  <c r="J15" i="21"/>
  <c r="J16" i="21"/>
  <c r="K15" i="21"/>
  <c r="K16" i="21"/>
  <c r="L15" i="21"/>
  <c r="L16" i="21"/>
  <c r="M15" i="21"/>
  <c r="M16" i="21"/>
  <c r="O16" i="21"/>
  <c r="C8" i="21"/>
  <c r="D8" i="21"/>
  <c r="E8" i="21"/>
  <c r="F8" i="21"/>
  <c r="G8" i="21"/>
  <c r="H8" i="21"/>
  <c r="I8" i="21"/>
  <c r="J8" i="21"/>
  <c r="K8" i="21"/>
  <c r="L8" i="21"/>
  <c r="M8" i="21"/>
  <c r="O11" i="21"/>
  <c r="F25" i="21"/>
  <c r="F26" i="21"/>
  <c r="F27" i="21"/>
  <c r="F22" i="21"/>
  <c r="C17" i="21"/>
  <c r="D17" i="21"/>
  <c r="E17" i="21"/>
  <c r="F17" i="21"/>
  <c r="G17" i="21"/>
  <c r="H17" i="21"/>
  <c r="I17" i="21"/>
  <c r="J17" i="21"/>
  <c r="K17" i="21"/>
  <c r="L17" i="21"/>
  <c r="M17" i="21"/>
  <c r="O17" i="21"/>
  <c r="N13" i="21"/>
  <c r="N14" i="21"/>
  <c r="N15" i="21"/>
  <c r="N4" i="21"/>
  <c r="N5" i="21"/>
  <c r="N6" i="21"/>
  <c r="N7" i="21"/>
  <c r="N8" i="21"/>
  <c r="M27" i="19"/>
  <c r="H27" i="19"/>
  <c r="D17" i="15"/>
  <c r="D15" i="15"/>
  <c r="D13" i="15"/>
  <c r="D11" i="15"/>
  <c r="D9" i="15"/>
  <c r="D7" i="15"/>
  <c r="E14" i="7"/>
  <c r="D14" i="7"/>
  <c r="C14" i="7"/>
  <c r="B14" i="7"/>
  <c r="J14" i="7"/>
  <c r="G12" i="7"/>
  <c r="I14" i="7"/>
  <c r="G10" i="7"/>
  <c r="G8" i="7"/>
  <c r="L9" i="7"/>
  <c r="G6" i="7"/>
  <c r="K7" i="7"/>
  <c r="M9" i="7"/>
  <c r="J8" i="7"/>
  <c r="N9" i="7"/>
  <c r="I8" i="7"/>
  <c r="J6" i="7"/>
  <c r="N7" i="7"/>
  <c r="N14" i="7"/>
  <c r="K9" i="7"/>
  <c r="K14" i="7"/>
  <c r="L7" i="7"/>
  <c r="L14" i="7"/>
  <c r="I6" i="7"/>
  <c r="M7" i="7"/>
  <c r="M14" i="7"/>
  <c r="F29" i="16"/>
  <c r="H19" i="16"/>
  <c r="O19" i="26"/>
  <c r="R19" i="26"/>
  <c r="N19" i="26"/>
  <c r="L27" i="19"/>
  <c r="P19" i="26"/>
  <c r="Q20" i="26"/>
  <c r="K27" i="19"/>
  <c r="J27" i="19"/>
  <c r="D18" i="26"/>
  <c r="N22" i="26"/>
  <c r="N24" i="26"/>
  <c r="O22" i="26"/>
  <c r="O24" i="26"/>
  <c r="P22" i="26"/>
  <c r="P24" i="26"/>
  <c r="Q22" i="26"/>
  <c r="Q24" i="26"/>
  <c r="R22" i="26"/>
  <c r="R24" i="26"/>
</calcChain>
</file>

<file path=xl/comments1.xml><?xml version="1.0" encoding="utf-8"?>
<comments xmlns="http://schemas.openxmlformats.org/spreadsheetml/2006/main">
  <authors>
    <author>Mei Kwan See Toh</author>
  </authors>
  <commentList>
    <comment ref="D19" authorId="0">
      <text>
        <r>
          <rPr>
            <sz val="9"/>
            <color rgb="FF000000"/>
            <rFont val="Tahoma"/>
            <family val="2"/>
          </rPr>
          <t>Same as CY17</t>
        </r>
      </text>
    </comment>
    <comment ref="E19" authorId="0">
      <text>
        <r>
          <rPr>
            <sz val="9"/>
            <color rgb="FF000000"/>
            <rFont val="Tahoma"/>
            <family val="2"/>
          </rPr>
          <t>Same as CY17</t>
        </r>
      </text>
    </comment>
    <comment ref="A23" authorId="0">
      <text>
        <r>
          <rPr>
            <sz val="9"/>
            <color rgb="FF000000"/>
            <rFont val="Tahoma"/>
            <family val="2"/>
          </rPr>
          <t>CY14 and CY15 relate to audit fees and legal costs. CY16 onwards relate to management costs of the metering function</t>
        </r>
      </text>
    </comment>
  </commentList>
</comments>
</file>

<file path=xl/sharedStrings.xml><?xml version="1.0" encoding="utf-8"?>
<sst xmlns="http://schemas.openxmlformats.org/spreadsheetml/2006/main" count="540" uniqueCount="319">
  <si>
    <t>Labour</t>
  </si>
  <si>
    <t>Total</t>
  </si>
  <si>
    <t>Meter Reading</t>
  </si>
  <si>
    <t>CY15</t>
  </si>
  <si>
    <t>CY16</t>
  </si>
  <si>
    <t>CY17</t>
  </si>
  <si>
    <t>CY18</t>
  </si>
  <si>
    <t>CY19</t>
  </si>
  <si>
    <t>CY20</t>
  </si>
  <si>
    <t>Meters</t>
  </si>
  <si>
    <t>Hardware</t>
  </si>
  <si>
    <t>Actual</t>
  </si>
  <si>
    <t>Forecast</t>
  </si>
  <si>
    <t>Volumes</t>
  </si>
  <si>
    <t>Average</t>
  </si>
  <si>
    <t>De-Energisation - Manual</t>
  </si>
  <si>
    <t>De-Energisation - Remote</t>
  </si>
  <si>
    <t>Re-Energisation - Manual</t>
  </si>
  <si>
    <t>Re-Energisation - Remote</t>
  </si>
  <si>
    <t>Special Read - Manual</t>
  </si>
  <si>
    <t>Special Read - Remote</t>
  </si>
  <si>
    <t>Meter Re-configuration - Manual</t>
  </si>
  <si>
    <t>Meter Re-configuration - Remote</t>
  </si>
  <si>
    <t xml:space="preserve">Comms infrastructure maintenance </t>
  </si>
  <si>
    <t>Comments</t>
  </si>
  <si>
    <t xml:space="preserve">36 FTE training budget </t>
  </si>
  <si>
    <t xml:space="preserve">IT maintenance &amp; support </t>
  </si>
  <si>
    <t>Volume</t>
  </si>
  <si>
    <t>Cost $</t>
  </si>
  <si>
    <t>FTE</t>
  </si>
  <si>
    <t>Overheads</t>
  </si>
  <si>
    <t># FTE's</t>
  </si>
  <si>
    <t>01/01 -31/12</t>
  </si>
  <si>
    <t>01/01 -30/06</t>
  </si>
  <si>
    <t xml:space="preserve">30/06 -31/12 </t>
  </si>
  <si>
    <t>Team Leaders</t>
  </si>
  <si>
    <t>MCFO Resources</t>
  </si>
  <si>
    <t>Despatch</t>
  </si>
  <si>
    <t>Assumptions</t>
  </si>
  <si>
    <t>All NMI's logically converted by 31/12/16</t>
  </si>
  <si>
    <t>There will be an increase in check reads and issues requiring additional support after logical conversion completed for first half of 2017.</t>
  </si>
  <si>
    <t>FY16 Budget:</t>
  </si>
  <si>
    <t>Costs</t>
  </si>
  <si>
    <t>Total FTE's</t>
  </si>
  <si>
    <t>Redundancy</t>
  </si>
  <si>
    <t>Meter Asset Management - Back Office</t>
  </si>
  <si>
    <t>Cost Centre 7999 - ALL OHD</t>
  </si>
  <si>
    <t>Fte's</t>
  </si>
  <si>
    <t>Costs driven by FTE not by number of tests performed.</t>
  </si>
  <si>
    <t>Total Budget</t>
  </si>
  <si>
    <t>Unit Rate:</t>
  </si>
  <si>
    <t>Per person Per Annum (Includes, labour, oncosts, travel, vehicles, training &amp; admin costs)</t>
  </si>
  <si>
    <t>Meter Asset Management - Field Services</t>
  </si>
  <si>
    <t>Cost Centre 9161 - ALL 503</t>
  </si>
  <si>
    <t>Per person Per Annum (Includes, labour, oncosts, travel, vehicles, training, tools, materials, PPE &amp; admin costs)</t>
  </si>
  <si>
    <t>Total Meter Asset Management</t>
  </si>
  <si>
    <t>OHD</t>
  </si>
  <si>
    <t>Meter Type</t>
  </si>
  <si>
    <t>Installation Year</t>
  </si>
  <si>
    <t>Action</t>
  </si>
  <si>
    <t>400 or new equivalent</t>
  </si>
  <si>
    <t>410 or new equivalent</t>
  </si>
  <si>
    <t xml:space="preserve">Total </t>
  </si>
  <si>
    <t>2013 (Actual)</t>
  </si>
  <si>
    <t>New Connection</t>
  </si>
  <si>
    <t>Abolishment</t>
  </si>
  <si>
    <t>2014 (Actual)</t>
  </si>
  <si>
    <t>2015 (Forecast)</t>
  </si>
  <si>
    <t>2016 (Forecast)</t>
  </si>
  <si>
    <t>2017 (Forecast)</t>
  </si>
  <si>
    <t>2018 (Forecast)</t>
  </si>
  <si>
    <t>2019 (Forecast)</t>
  </si>
  <si>
    <t>2020 (Forecast)</t>
  </si>
  <si>
    <t>PMO</t>
  </si>
  <si>
    <t>Allocation to Metering (based on ABC survey)</t>
  </si>
  <si>
    <t>Allocation to Electricity Distribution (based on ABC survey)</t>
  </si>
  <si>
    <t>Allocation to Unregulated Distribution (based on ABC survey)</t>
  </si>
  <si>
    <t>Cyclic</t>
  </si>
  <si>
    <t>Special</t>
  </si>
  <si>
    <t>Admin</t>
  </si>
  <si>
    <t>Mgt</t>
  </si>
  <si>
    <t>20% reduction in # of Cyclic Readers due to assumption that logical conversion will not impact cyclic readers until late in 2016 and due to dispersement of reads, route efficiencies will have been established.</t>
  </si>
  <si>
    <t>2017-2020</t>
  </si>
  <si>
    <t>70% of "Special Reads" are de-en/re-en's and 100% of these will be successful.</t>
  </si>
  <si>
    <t>1% of sites will not have a smart meter due to unecconomical reasons, thus requiring a manual read</t>
  </si>
  <si>
    <t># of Working Days</t>
  </si>
  <si>
    <t>CYCLIC</t>
  </si>
  <si>
    <t>YTD</t>
  </si>
  <si>
    <t>AVG</t>
  </si>
  <si>
    <t>Number of No Reads</t>
  </si>
  <si>
    <t>Quarterly</t>
  </si>
  <si>
    <t>Total Number of Reads</t>
  </si>
  <si>
    <t>Monthly</t>
  </si>
  <si>
    <t>TOTAL</t>
  </si>
  <si>
    <t># of FTE's (Metro)</t>
  </si>
  <si>
    <t># of FTE's (Rural)</t>
  </si>
  <si>
    <t>SPECIAL</t>
  </si>
  <si>
    <t>Current Yr</t>
  </si>
  <si>
    <t># of FTE's</t>
  </si>
  <si>
    <t>TOTAL FTE's</t>
  </si>
  <si>
    <t>Assumptions/Planning Constants</t>
  </si>
  <si>
    <t>Forecasts</t>
  </si>
  <si>
    <t># of Working Calandar Days / Month</t>
  </si>
  <si>
    <t># of Annual Leave Days/Month</t>
  </si>
  <si>
    <t>Reads/Month</t>
  </si>
  <si>
    <t># of Sick Days/Month</t>
  </si>
  <si>
    <t>FTE's post 30/06/17</t>
  </si>
  <si>
    <t># of Actual Workings Day/Month</t>
  </si>
  <si>
    <t>Avg. Special Reads/Month</t>
  </si>
  <si>
    <t># of Special Reads/ Day</t>
  </si>
  <si>
    <t>Approx. 70% are re-ens/de-ens</t>
  </si>
  <si>
    <t># of Cyclic Reads/Day (Metro)</t>
  </si>
  <si>
    <t># of Special Reads required/Month post remote re-ens/de-ens</t>
  </si>
  <si>
    <t># of Cyclic Reads/Day (Rural)</t>
  </si>
  <si>
    <t># of Cyclic Reads/Day (unecconomical)</t>
  </si>
  <si>
    <t>% of Metro Jobs</t>
  </si>
  <si>
    <t>% of Rural Jobs</t>
  </si>
  <si>
    <t>As at April '15</t>
  </si>
  <si>
    <t># of Team Leaders</t>
  </si>
  <si>
    <t># of Cyclic Readers</t>
  </si>
  <si>
    <t># of Special Readers</t>
  </si>
  <si>
    <t># of MCFO's</t>
  </si>
  <si>
    <t>% Split</t>
  </si>
  <si>
    <t>Division</t>
  </si>
  <si>
    <t>Type</t>
  </si>
  <si>
    <t>Calc.</t>
  </si>
  <si>
    <t>Act.</t>
  </si>
  <si>
    <t>Bairnsdale</t>
  </si>
  <si>
    <t>Rural</t>
  </si>
  <si>
    <t>Beaconsfield</t>
  </si>
  <si>
    <t>Metro</t>
  </si>
  <si>
    <t>Benalla</t>
  </si>
  <si>
    <t>Lilydale</t>
  </si>
  <si>
    <t>Sth Morang</t>
  </si>
  <si>
    <t>Traralgon</t>
  </si>
  <si>
    <t>Wodonga</t>
  </si>
  <si>
    <t>Wonthaggi</t>
  </si>
  <si>
    <t>Sub Total</t>
  </si>
  <si>
    <t>Notes</t>
  </si>
  <si>
    <t>0.8 Operations Manager + 0.2 Meter Reading Manager</t>
  </si>
  <si>
    <t>1 reporting/invoicing + 1 administrator/process/procedures/vehicles etc</t>
  </si>
  <si>
    <t>Issuing of Service Orders from retailers and internal Service Orders</t>
  </si>
  <si>
    <t>Life to Date (March 2015)</t>
  </si>
  <si>
    <t>Date Issued</t>
  </si>
  <si>
    <t>%</t>
  </si>
  <si>
    <t>BDL</t>
  </si>
  <si>
    <t>BEN</t>
  </si>
  <si>
    <t>BFD</t>
  </si>
  <si>
    <t>LDL</t>
  </si>
  <si>
    <t>LEO</t>
  </si>
  <si>
    <t>SEY</t>
  </si>
  <si>
    <t>SMG</t>
  </si>
  <si>
    <t>TGN</t>
  </si>
  <si>
    <t>WOD</t>
  </si>
  <si>
    <t>Monthly Summary</t>
  </si>
  <si>
    <t>Total/Month</t>
  </si>
  <si>
    <t>Average/Month</t>
  </si>
  <si>
    <t>These "fault" jobs are based on a total of 440K logically converted sites.</t>
  </si>
  <si>
    <t>Avg # of Jobs/person/day</t>
  </si>
  <si>
    <t>% of LC'd sites that generate MCFO "fault" jobs are:</t>
  </si>
  <si>
    <t>% of Mesh fault rate</t>
  </si>
  <si>
    <t>If 700,000 logically converted by 31/12/16, then</t>
  </si>
  <si>
    <t>total fault jobs expected in 2017</t>
  </si>
  <si>
    <t>Total Jobs/Year</t>
  </si>
  <si>
    <t>Total Jobs/Month</t>
  </si>
  <si>
    <t>700,000 Meters as at 01/01/17</t>
  </si>
  <si>
    <t>20K New Conns/Ads/Alts each Year</t>
  </si>
  <si>
    <t>There is no change to the current resourcing structure nor work profile, i.e. it will remain as it has for past 12 months.  Any growth in 2015 (New Conns/Adds/Alts) will be counter acted by proposed planned 20K logical conversions to take place in 2015.</t>
  </si>
  <si>
    <t>Notes:</t>
  </si>
  <si>
    <r>
      <t xml:space="preserve">Replacements </t>
    </r>
    <r>
      <rPr>
        <sz val="11"/>
        <color theme="1"/>
        <rFont val="Calibri"/>
        <family val="2"/>
        <scheme val="minor"/>
      </rPr>
      <t>(Meter Installed for Adds/Alts &amp; Faults)</t>
    </r>
  </si>
  <si>
    <t>400</t>
  </si>
  <si>
    <t>410</t>
  </si>
  <si>
    <t>420</t>
  </si>
  <si>
    <t>430</t>
  </si>
  <si>
    <t>450</t>
  </si>
  <si>
    <t>Total AMI Meters</t>
  </si>
  <si>
    <t>End of Year Volumes</t>
  </si>
  <si>
    <t>CY 2015</t>
  </si>
  <si>
    <t>CY 2016</t>
  </si>
  <si>
    <t>CY 2017</t>
  </si>
  <si>
    <t>CY 2018</t>
  </si>
  <si>
    <t>CY 2019</t>
  </si>
  <si>
    <t>CY 2020</t>
  </si>
  <si>
    <t>Real $2014</t>
  </si>
  <si>
    <t>Real $2015</t>
  </si>
  <si>
    <t>CY14</t>
  </si>
  <si>
    <t>Capex (combined EDPR and Metering)</t>
  </si>
  <si>
    <t>CAPEX</t>
  </si>
  <si>
    <t xml:space="preserve">Meters </t>
  </si>
  <si>
    <t xml:space="preserve">IT </t>
  </si>
  <si>
    <t>Total Capex (Metering)</t>
  </si>
  <si>
    <t>OPEX</t>
  </si>
  <si>
    <t>Meter reading - to be excluded (manual reads)</t>
  </si>
  <si>
    <t>Meter reading</t>
  </si>
  <si>
    <t>Meter data management</t>
  </si>
  <si>
    <t>Meter maintenance</t>
  </si>
  <si>
    <t>Metering management</t>
  </si>
  <si>
    <t>IT &amp; communications maintenance and support</t>
  </si>
  <si>
    <t xml:space="preserve">Metering management </t>
  </si>
  <si>
    <t>Customer Services Cost</t>
  </si>
  <si>
    <t>Total Opex</t>
  </si>
  <si>
    <t>Included in Metering</t>
  </si>
  <si>
    <t>Task</t>
  </si>
  <si>
    <t>CY2015</t>
  </si>
  <si>
    <t>FTE (approx)</t>
  </si>
  <si>
    <t>CY2016</t>
  </si>
  <si>
    <t>CY2017</t>
  </si>
  <si>
    <t>CY2018</t>
  </si>
  <si>
    <t>CY2019</t>
  </si>
  <si>
    <t>CY2020</t>
  </si>
  <si>
    <t>Data Services (Market Data)</t>
  </si>
  <si>
    <t>Data Services (Metering Ops)</t>
  </si>
  <si>
    <t>Data Integrity</t>
  </si>
  <si>
    <t>Remote Services (manual)</t>
  </si>
  <si>
    <t>Remote Services (auto)</t>
  </si>
  <si>
    <t>Management (data)</t>
  </si>
  <si>
    <t>Management (field and asset)</t>
  </si>
  <si>
    <t>Compliance and Reg Engagement &amp; Projects</t>
  </si>
  <si>
    <t>Testing</t>
  </si>
  <si>
    <t>TOTAL (excl. manual remote)</t>
  </si>
  <si>
    <t>TOTAL (excl. all remote)</t>
  </si>
  <si>
    <t xml:space="preserve">Metering Ops staff have operational and project roles, allocation changes over the CY's, operational increasing as AMI, mesh roll out and contestability completed. </t>
  </si>
  <si>
    <t>Assumes no costs for contestability</t>
  </si>
  <si>
    <t>$2015</t>
  </si>
  <si>
    <t>Logical conversion completed by end 2016</t>
  </si>
  <si>
    <t xml:space="preserve">Does provide Metering Ops costs for minor regulatory change, industry engagement and training </t>
  </si>
  <si>
    <t>Including testing costs to support ongoing BAU releases (defects, industry changes), excludes costs associate with major programs, for example AMI and contestability.  Only include UAT.</t>
  </si>
  <si>
    <t xml:space="preserve">Due to distance, 1 resource will be required to read the unnecconomical sites in each of the rural divisions (5 in total).  </t>
  </si>
  <si>
    <t>2 TL's required to manage large geographical spread (North and East), however in 1st half of 2017, this will not completely reduce to allow for higher error rates once AMI stabilisation is completed.</t>
  </si>
  <si>
    <t>It is assumed that in the first half of 2017, double the resources will be required (based on projection for 2017 onwards) due to higher error rate after completion of AMI stabilisation and assumed fault rates of Mesh Network).</t>
  </si>
  <si>
    <t>Assumed Mesh Fault Rate of 0.5%</t>
  </si>
  <si>
    <t>20K new connection growth per annum (including adds/alts)</t>
  </si>
  <si>
    <t>Included in EDPR opex as distribution network related</t>
  </si>
  <si>
    <t>In the CY14 Regulatory Accounts, a portion of meter maintenance was classified under meter reading and meter data management. The forecasts for CY15 - CY20 have been prepared on the appropriate classification basis.</t>
  </si>
  <si>
    <t>Opex (combined EDPR and Metering)</t>
  </si>
  <si>
    <t>Total Opex (Metering)</t>
  </si>
  <si>
    <t>Total Capex (EDPR)</t>
  </si>
  <si>
    <t>Total Opex (EDPR)</t>
  </si>
  <si>
    <t xml:space="preserve">Meter reading </t>
  </si>
  <si>
    <t>High level description of model</t>
  </si>
  <si>
    <t>Description of sheets in model</t>
  </si>
  <si>
    <t>Sheet Name</t>
  </si>
  <si>
    <t>Description</t>
  </si>
  <si>
    <t>The model details the cost build up of each of the capex and opex line items for CY2015 - CY2020, in real $2015.</t>
  </si>
  <si>
    <t>Summary</t>
  </si>
  <si>
    <t>Lists the capex and opex line items</t>
  </si>
  <si>
    <t>Calc</t>
  </si>
  <si>
    <t>Vol special meter read</t>
  </si>
  <si>
    <t>Details the cost and volume forecasts for capex items</t>
  </si>
  <si>
    <t>LG Invoices list</t>
  </si>
  <si>
    <t>Latest contract price of meters</t>
  </si>
  <si>
    <t>Meter replacement volume</t>
  </si>
  <si>
    <t>New connections</t>
  </si>
  <si>
    <t>IT &amp; Comms opex</t>
  </si>
  <si>
    <t>SUMMARY MR</t>
  </si>
  <si>
    <t>Actuals + Forecasts</t>
  </si>
  <si>
    <t>Resources</t>
  </si>
  <si>
    <t>MCFO Work</t>
  </si>
  <si>
    <t>Meter Asset Management</t>
  </si>
  <si>
    <t>Lists meter replacement volumes by meter types</t>
  </si>
  <si>
    <t>Lists the volume forecast of remote services</t>
  </si>
  <si>
    <t>Lists new connections volumes by meter types</t>
  </si>
  <si>
    <t>Lists the cost build up of IT &amp; Comms opex</t>
  </si>
  <si>
    <t>Lists the cost build up of meter data management</t>
  </si>
  <si>
    <t>Details the cost build up of meter reading</t>
  </si>
  <si>
    <t>Details the number of FTEs required and the assumptions used</t>
  </si>
  <si>
    <t>Details the resources required by regions for meter reading and communications fault work</t>
  </si>
  <si>
    <t>Details the volume of communications module fault in the past and assumptions used for the forecast period</t>
  </si>
  <si>
    <t>Details the number of cyclic and special readers FTEs required and the assumptions used for the forecast period</t>
  </si>
  <si>
    <t>Details the number of FTEs required and the assumptions used for meter maintenance work</t>
  </si>
  <si>
    <t>CY16-CY20</t>
  </si>
  <si>
    <t xml:space="preserve">Assume no CPI and no adjustment to headcount going forward </t>
  </si>
  <si>
    <t xml:space="preserve">Total Budget </t>
  </si>
  <si>
    <t xml:space="preserve">IT &amp; Comms infrastructure maintenance &amp; support (Metering) </t>
  </si>
  <si>
    <t>IT &amp; Comms infrastructure maintenance &amp; support (EDPR)</t>
  </si>
  <si>
    <t>Grand Total (IT &amp; Comms infrastructure maintenance &amp; support)</t>
  </si>
  <si>
    <t>Costs rolled in to EDPR</t>
  </si>
  <si>
    <t>IT &amp; Comms infrastructure maintenance &amp; support (total)</t>
  </si>
  <si>
    <t>Communications modules</t>
  </si>
  <si>
    <t>IT &amp; Communications maintenance &amp; support Opex Forecast</t>
  </si>
  <si>
    <t>Total Communications modules</t>
  </si>
  <si>
    <t>ACMA Radio Licences</t>
  </si>
  <si>
    <t>Unwired Australia / Optus</t>
  </si>
  <si>
    <t>NBN Co / Austar</t>
  </si>
  <si>
    <t>Telstra 3G/4G LTE comms charges</t>
  </si>
  <si>
    <t>Mesh Backhaul 3G connections</t>
  </si>
  <si>
    <t>24/7 AMI Systems &amp; Network Support - Period 1 &amp; 2</t>
  </si>
  <si>
    <t>Tower Maintenance</t>
  </si>
  <si>
    <t>Rent - WiMAX tower sites</t>
  </si>
  <si>
    <t>Training</t>
  </si>
  <si>
    <t>AMI Ops Other Exp</t>
  </si>
  <si>
    <t>MMS Team Lead</t>
  </si>
  <si>
    <t>MMS Technical Analysts - Period 1</t>
  </si>
  <si>
    <t>Annual fee</t>
  </si>
  <si>
    <t>Annual Fee</t>
  </si>
  <si>
    <t>Data charges</t>
  </si>
  <si>
    <t>Annual estimate</t>
  </si>
  <si>
    <t>Mesh Software and Maintenance Support</t>
  </si>
  <si>
    <t>SaaS test environments</t>
  </si>
  <si>
    <t>GridNet Policy Net</t>
  </si>
  <si>
    <t>Maintenance &amp; licence fees</t>
  </si>
  <si>
    <t>IT Engineers and Analysts</t>
  </si>
  <si>
    <t>IT engineers and Analysts</t>
  </si>
  <si>
    <t>IT-MMS</t>
  </si>
  <si>
    <t xml:space="preserve">Communications infrastructure </t>
  </si>
  <si>
    <t>IT Excluding MMS</t>
  </si>
  <si>
    <t>Total capex</t>
  </si>
  <si>
    <t>Meters (incl WIMAX comms cards)</t>
  </si>
  <si>
    <t>Communications modules - replacement</t>
  </si>
  <si>
    <t>Communications modules - new connections</t>
  </si>
  <si>
    <t>Communications modules - meter replacement</t>
  </si>
  <si>
    <t xml:space="preserve">Antenna - replacement </t>
  </si>
  <si>
    <t>Antenna - new connections</t>
  </si>
  <si>
    <t xml:space="preserve">Antenna - meter replacement </t>
  </si>
  <si>
    <t>Comms Infrastructure - replacement</t>
  </si>
  <si>
    <t>Comms Infrastructure - new connections</t>
  </si>
  <si>
    <t>Labour installation costs - comms modules replacement</t>
  </si>
  <si>
    <t>Labour installation - Comms infrastructure replacement</t>
  </si>
  <si>
    <t>Labour installation - Comms infrastructure - new connections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</si>
</sst>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Red]\-&quot;$&quot;#,##0"/>
    <numFmt numFmtId="44" formatCode="_-&quot;$&quot;* #,##0.00_-;\-&quot;$&quot;* #,##0.00_-;_-&quot;$&quot;* &quot;-&quot;??_-;_-@_-"/>
    <numFmt numFmtId="43" formatCode="_-* #,##0.00_-;\-* #,##0.00_-;_-* &quot;-&quot;??_-;_-@_-"/>
    <numFmt numFmtId="164" formatCode="_(* #,##0.00_);_(* \(#,##0.00\);_(* &quot;-&quot;??_);_(@_)"/>
    <numFmt numFmtId="165" formatCode="_-* #,##0_-;\-* #,##0_-;_-* &quot;-&quot;??_-;_-@_-"/>
    <numFmt numFmtId="166" formatCode="_(#,##0.0_);\(#,##0.0\);_(&quot;-&quot;_)"/>
    <numFmt numFmtId="167" formatCode="_(* #,##0_);_(* \(#,##0\);_(* &quot;-&quot;??_);_(@_)"/>
    <numFmt numFmtId="168" formatCode="_-&quot;$&quot;* #,##0_-;\-&quot;$&quot;* #,##0_-;_-&quot;$&quot;* &quot;-&quot;??_-;_-@_-"/>
    <numFmt numFmtId="169" formatCode="0.0"/>
    <numFmt numFmtId="170" formatCode="[$-C09]dd\-mmm\-yy;@"/>
    <numFmt numFmtId="171" formatCode="_-* #,##0.000_-;\-* #,##0.000_-;_-* &quot;-&quot;??_-;_-@_-"/>
    <numFmt numFmtId="172" formatCode="_(* #,##0.0_);_(* \(#,##0.0\);_(* &quot;-&quot;??_);_(@_)"/>
  </numFmts>
  <fonts count="51" x14ac:knownFonts="1">
    <font>
      <sz val="11"/>
      <color theme="1"/>
      <name val="Calibri"/>
      <family val="2"/>
      <scheme val="minor"/>
    </font>
    <font>
      <sz val="11"/>
      <color theme="1"/>
      <name val="Calibri"/>
      <family val="2"/>
      <scheme val="minor"/>
    </font>
    <font>
      <b/>
      <u/>
      <sz val="8"/>
      <color indexed="56"/>
      <name val="Arial"/>
      <family val="2"/>
    </font>
    <font>
      <sz val="8"/>
      <name val="Arial"/>
      <family val="2"/>
    </font>
    <font>
      <sz val="1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b/>
      <i/>
      <sz val="11"/>
      <color theme="1"/>
      <name val="Calibri"/>
      <family val="2"/>
      <scheme val="minor"/>
    </font>
    <font>
      <sz val="10"/>
      <name val="MS Sans Serif"/>
      <family val="2"/>
    </font>
    <font>
      <b/>
      <sz val="12"/>
      <color theme="1"/>
      <name val="Calibri"/>
      <family val="2"/>
      <scheme val="minor"/>
    </font>
    <font>
      <b/>
      <u/>
      <sz val="11"/>
      <color rgb="FF000000"/>
      <name val="Calibri"/>
      <family val="2"/>
    </font>
    <font>
      <b/>
      <sz val="11"/>
      <name val="Calibri"/>
      <family val="2"/>
    </font>
    <font>
      <sz val="11"/>
      <color theme="1"/>
      <name val="Calibri"/>
      <family val="2"/>
    </font>
    <font>
      <sz val="11"/>
      <name val="Calibri"/>
      <family val="2"/>
    </font>
    <font>
      <b/>
      <sz val="11"/>
      <color rgb="FFFF0000"/>
      <name val="Calibri"/>
      <family val="2"/>
      <scheme val="minor"/>
    </font>
    <font>
      <u/>
      <sz val="11"/>
      <color theme="1"/>
      <name val="Calibri"/>
      <family val="2"/>
      <scheme val="minor"/>
    </font>
    <font>
      <sz val="11"/>
      <color rgb="FF1F497D"/>
      <name val="Calibri"/>
      <family val="2"/>
      <scheme val="minor"/>
    </font>
    <font>
      <sz val="10"/>
      <color theme="1"/>
      <name val="Times New Roman"/>
      <family val="1"/>
    </font>
    <font>
      <sz val="11"/>
      <color theme="1"/>
      <name val="Times New Roman"/>
      <family val="1"/>
    </font>
    <font>
      <b/>
      <sz val="10"/>
      <color rgb="FF002060"/>
      <name val="Cambria"/>
      <family val="1"/>
    </font>
    <font>
      <sz val="9"/>
      <color rgb="FF000000"/>
      <name val="Calibri"/>
      <family val="2"/>
    </font>
    <font>
      <b/>
      <i/>
      <sz val="10"/>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8"/>
      <color theme="1"/>
      <name val="Calibri"/>
      <family val="2"/>
      <scheme val="minor"/>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11"/>
      <color rgb="FF000000"/>
      <name val="Calibri"/>
      <family val="2"/>
    </font>
    <font>
      <b/>
      <sz val="11"/>
      <color rgb="FF000000"/>
      <name val="Calibri"/>
      <family val="2"/>
    </font>
    <font>
      <b/>
      <sz val="11"/>
      <color theme="1"/>
      <name val="Calibri"/>
      <family val="2"/>
    </font>
    <font>
      <sz val="9"/>
      <color rgb="FF000000"/>
      <name val="Tahoma"/>
      <family val="2"/>
    </font>
    <font>
      <sz val="10"/>
      <name val="Tahoma"/>
      <family val="2"/>
    </font>
    <font>
      <sz val="10"/>
      <color theme="1"/>
      <name val="Arial Narrow"/>
      <family val="2"/>
    </font>
    <font>
      <b/>
      <sz val="12"/>
      <color theme="1"/>
      <name val="Arial Narrow"/>
      <family val="2"/>
    </font>
    <font>
      <b/>
      <sz val="10"/>
      <color theme="1"/>
      <name val="Arial Narrow"/>
      <family val="2"/>
    </font>
  </fonts>
  <fills count="46">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mediumGray">
        <fgColor indexed="22"/>
      </patternFill>
    </fill>
    <fill>
      <patternFill patternType="solid">
        <fgColor rgb="FFFFC0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92D050"/>
        <bgColor indexed="64"/>
      </patternFill>
    </fill>
    <fill>
      <patternFill patternType="solid">
        <fgColor theme="6" tint="0.59999389629810485"/>
        <bgColor indexed="64"/>
      </patternFill>
    </fill>
    <fill>
      <patternFill patternType="solid">
        <fgColor rgb="FF00B0F0"/>
        <bgColor indexed="64"/>
      </patternFill>
    </fill>
    <fill>
      <patternFill patternType="solid">
        <fgColor theme="3" tint="0.59999389629810485"/>
        <bgColor indexed="64"/>
      </patternFill>
    </fill>
    <fill>
      <patternFill patternType="solid">
        <fgColor rgb="FFBFBFBF"/>
        <bgColor indexed="64"/>
      </patternFill>
    </fill>
    <fill>
      <patternFill patternType="solid">
        <fgColor rgb="FFFDE9D9"/>
        <bgColor indexed="64"/>
      </patternFill>
    </fill>
    <fill>
      <patternFill patternType="solid">
        <fgColor theme="8" tint="0.79998168889431442"/>
        <bgColor indexed="64"/>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theme="4" tint="0.79998168889431442"/>
      </patternFill>
    </fill>
    <fill>
      <patternFill patternType="solid">
        <fgColor indexed="42"/>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rgb="FF000000"/>
      </patternFill>
    </fill>
    <fill>
      <patternFill patternType="solid">
        <fgColor theme="4" tint="0.39997558519241921"/>
        <bgColor indexed="64"/>
      </patternFill>
    </fill>
    <fill>
      <patternFill patternType="solid">
        <fgColor theme="3" tint="0.79998168889431442"/>
        <bgColor indexed="64"/>
      </patternFill>
    </fill>
    <fill>
      <patternFill patternType="solid">
        <fgColor theme="1"/>
        <bgColor indexed="64"/>
      </patternFill>
    </fill>
  </fills>
  <borders count="69">
    <border>
      <left/>
      <right/>
      <top/>
      <bottom/>
      <diagonal/>
    </border>
    <border>
      <left style="medium">
        <color indexed="18"/>
      </left>
      <right style="medium">
        <color indexed="18"/>
      </right>
      <top style="medium">
        <color indexed="18"/>
      </top>
      <bottom style="medium">
        <color indexed="1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68">
    <xf numFmtId="0" fontId="0" fillId="0" borderId="0"/>
    <xf numFmtId="164" fontId="1" fillId="0" borderId="0" applyFont="0" applyFill="0" applyBorder="0" applyAlignment="0" applyProtection="0"/>
    <xf numFmtId="0" fontId="2" fillId="0" borderId="0" applyFill="0" applyBorder="0">
      <alignment horizontal="left" vertical="center"/>
      <protection locked="0"/>
    </xf>
    <xf numFmtId="0" fontId="3" fillId="0" borderId="0" applyNumberFormat="0" applyFont="0" applyFill="0" applyBorder="0">
      <alignment horizontal="center" vertical="center"/>
      <protection locked="0"/>
    </xf>
    <xf numFmtId="0" fontId="3" fillId="0" borderId="1">
      <alignment vertical="center"/>
      <protection locked="0"/>
    </xf>
    <xf numFmtId="0" fontId="3" fillId="0" borderId="0"/>
    <xf numFmtId="166" fontId="3" fillId="0" borderId="1">
      <alignment horizontal="right" vertical="center"/>
      <protection locked="0"/>
    </xf>
    <xf numFmtId="0" fontId="9" fillId="4" borderId="0" applyNumberFormat="0" applyFont="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24" fillId="0" borderId="0" applyFont="0"/>
    <xf numFmtId="43" fontId="24" fillId="0" borderId="0" applyFont="0" applyFill="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25" fillId="27" borderId="0" applyNumberFormat="0" applyBorder="0" applyAlignment="0" applyProtection="0"/>
    <xf numFmtId="0" fontId="25" fillId="28" borderId="0" applyNumberFormat="0" applyBorder="0" applyAlignment="0" applyProtection="0"/>
    <xf numFmtId="0" fontId="25" fillId="23" borderId="0" applyNumberFormat="0" applyBorder="0" applyAlignment="0" applyProtection="0"/>
    <xf numFmtId="0" fontId="25" fillId="26" borderId="0" applyNumberFormat="0" applyBorder="0" applyAlignment="0" applyProtection="0"/>
    <xf numFmtId="0" fontId="25" fillId="29" borderId="0" applyNumberFormat="0" applyBorder="0" applyAlignment="0" applyProtection="0"/>
    <xf numFmtId="0" fontId="26" fillId="30"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3" borderId="0" applyNumberFormat="0" applyBorder="0" applyAlignment="0" applyProtection="0"/>
    <xf numFmtId="0" fontId="26" fillId="34"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6" fillId="37" borderId="0" applyNumberFormat="0" applyBorder="0" applyAlignment="0" applyProtection="0"/>
    <xf numFmtId="0" fontId="27" fillId="22" borderId="0" applyNumberFormat="0" applyBorder="0" applyAlignment="0" applyProtection="0"/>
    <xf numFmtId="0" fontId="28" fillId="38" borderId="53" applyNumberFormat="0" applyAlignment="0" applyProtection="0"/>
    <xf numFmtId="0" fontId="29" fillId="39" borderId="54" applyNumberFormat="0" applyAlignment="0" applyProtection="0"/>
    <xf numFmtId="43" fontId="24" fillId="0" borderId="0" applyFont="0" applyFill="0" applyBorder="0" applyAlignment="0" applyProtection="0"/>
    <xf numFmtId="43" fontId="1" fillId="0" borderId="0" applyFont="0" applyFill="0" applyBorder="0" applyAlignment="0" applyProtection="0"/>
    <xf numFmtId="44" fontId="24" fillId="0" borderId="0" applyFont="0" applyFill="0" applyBorder="0" applyAlignment="0" applyProtection="0"/>
    <xf numFmtId="44" fontId="30" fillId="0" borderId="0" applyFont="0" applyFill="0" applyBorder="0" applyAlignment="0" applyProtection="0"/>
    <xf numFmtId="0" fontId="31" fillId="0" borderId="0" applyNumberFormat="0" applyFill="0" applyBorder="0" applyAlignment="0" applyProtection="0"/>
    <xf numFmtId="0" fontId="32" fillId="20" borderId="0" applyNumberFormat="0" applyBorder="0" applyAlignment="0" applyProtection="0"/>
    <xf numFmtId="0" fontId="33" fillId="0" borderId="55" applyNumberFormat="0" applyFill="0" applyAlignment="0" applyProtection="0"/>
    <xf numFmtId="0" fontId="34" fillId="0" borderId="56" applyNumberFormat="0" applyFill="0" applyAlignment="0" applyProtection="0"/>
    <xf numFmtId="0" fontId="35" fillId="0" borderId="57" applyNumberFormat="0" applyFill="0" applyAlignment="0" applyProtection="0"/>
    <xf numFmtId="0" fontId="35" fillId="0" borderId="0" applyNumberFormat="0" applyFill="0" applyBorder="0" applyAlignment="0" applyProtection="0"/>
    <xf numFmtId="0" fontId="36" fillId="25" borderId="53" applyNumberFormat="0" applyAlignment="0" applyProtection="0"/>
    <xf numFmtId="0" fontId="37" fillId="0" borderId="58" applyNumberFormat="0" applyFill="0" applyAlignment="0" applyProtection="0"/>
    <xf numFmtId="0" fontId="38" fillId="40" borderId="0" applyNumberFormat="0" applyBorder="0" applyAlignment="0" applyProtection="0"/>
    <xf numFmtId="0" fontId="24" fillId="0" borderId="0"/>
    <xf numFmtId="0" fontId="1" fillId="0" borderId="0"/>
    <xf numFmtId="0" fontId="24" fillId="0" borderId="0"/>
    <xf numFmtId="0" fontId="1" fillId="0" borderId="0"/>
    <xf numFmtId="0" fontId="24" fillId="0" borderId="0"/>
    <xf numFmtId="0" fontId="30" fillId="0" borderId="0"/>
    <xf numFmtId="0" fontId="1" fillId="0" borderId="0"/>
    <xf numFmtId="0" fontId="24" fillId="41" borderId="59" applyNumberFormat="0" applyFont="0" applyAlignment="0" applyProtection="0"/>
    <xf numFmtId="0" fontId="39" fillId="38" borderId="60" applyNumberFormat="0" applyAlignment="0" applyProtection="0"/>
    <xf numFmtId="0" fontId="40" fillId="0" borderId="0" applyNumberFormat="0" applyFill="0" applyBorder="0" applyAlignment="0" applyProtection="0"/>
    <xf numFmtId="0" fontId="41" fillId="0" borderId="61" applyNumberFormat="0" applyFill="0" applyAlignment="0" applyProtection="0"/>
    <xf numFmtId="0" fontId="42" fillId="0" borderId="0" applyNumberFormat="0" applyFill="0" applyBorder="0" applyAlignment="0" applyProtection="0"/>
    <xf numFmtId="43" fontId="1" fillId="0" borderId="0" applyFont="0" applyFill="0" applyBorder="0" applyAlignment="0" applyProtection="0"/>
    <xf numFmtId="9" fontId="47" fillId="0" borderId="0" applyFont="0" applyFill="0" applyBorder="0" applyAlignment="0" applyProtection="0"/>
  </cellStyleXfs>
  <cellXfs count="518">
    <xf numFmtId="0" fontId="0" fillId="0" borderId="0" xfId="0"/>
    <xf numFmtId="0" fontId="0" fillId="0" borderId="0" xfId="0" applyFill="1"/>
    <xf numFmtId="0" fontId="4" fillId="0" borderId="0" xfId="0" applyFont="1"/>
    <xf numFmtId="0" fontId="5" fillId="0" borderId="0" xfId="0" applyFont="1"/>
    <xf numFmtId="0" fontId="6" fillId="0" borderId="0" xfId="0" applyFont="1"/>
    <xf numFmtId="0" fontId="5" fillId="0" borderId="0" xfId="0" applyFont="1" applyAlignment="1">
      <alignment horizontal="right"/>
    </xf>
    <xf numFmtId="0" fontId="7" fillId="0" borderId="0" xfId="0" applyFont="1"/>
    <xf numFmtId="165" fontId="0" fillId="0" borderId="0" xfId="0" applyNumberFormat="1"/>
    <xf numFmtId="0" fontId="7" fillId="0" borderId="6" xfId="0" applyFont="1" applyBorder="1"/>
    <xf numFmtId="0" fontId="0" fillId="0" borderId="7" xfId="0" applyBorder="1"/>
    <xf numFmtId="165" fontId="5" fillId="0" borderId="7" xfId="0" applyNumberFormat="1" applyFont="1" applyBorder="1" applyAlignment="1">
      <alignment horizontal="right"/>
    </xf>
    <xf numFmtId="0" fontId="6" fillId="0" borderId="9" xfId="0" applyFont="1" applyBorder="1"/>
    <xf numFmtId="0" fontId="0" fillId="0" borderId="0" xfId="0" applyBorder="1"/>
    <xf numFmtId="165" fontId="0" fillId="0" borderId="0" xfId="0" applyNumberFormat="1" applyBorder="1"/>
    <xf numFmtId="0" fontId="0" fillId="0" borderId="9" xfId="0" applyBorder="1"/>
    <xf numFmtId="0" fontId="5" fillId="0" borderId="0" xfId="0" applyFont="1" applyBorder="1"/>
    <xf numFmtId="0" fontId="5" fillId="0" borderId="9" xfId="0" applyFont="1" applyBorder="1"/>
    <xf numFmtId="0" fontId="0" fillId="0" borderId="11" xfId="0" applyBorder="1"/>
    <xf numFmtId="0" fontId="0" fillId="0" borderId="12" xfId="0" applyBorder="1"/>
    <xf numFmtId="165" fontId="0" fillId="0" borderId="12" xfId="0" applyNumberFormat="1" applyBorder="1"/>
    <xf numFmtId="0" fontId="0" fillId="0" borderId="0" xfId="0" applyFont="1"/>
    <xf numFmtId="0" fontId="0" fillId="2" borderId="0" xfId="0" applyFill="1"/>
    <xf numFmtId="0" fontId="5" fillId="3" borderId="0" xfId="0" applyFont="1" applyFill="1" applyBorder="1"/>
    <xf numFmtId="0" fontId="5" fillId="3" borderId="0" xfId="0" applyFont="1" applyFill="1"/>
    <xf numFmtId="0" fontId="5" fillId="3" borderId="17" xfId="7" applyFont="1" applyFill="1" applyBorder="1" applyAlignment="1">
      <alignment vertical="center"/>
    </xf>
    <xf numFmtId="0" fontId="5" fillId="3" borderId="0" xfId="7" applyFont="1" applyFill="1" applyBorder="1" applyAlignment="1">
      <alignment vertical="center"/>
    </xf>
    <xf numFmtId="0" fontId="5" fillId="3" borderId="18" xfId="7" applyFont="1" applyFill="1" applyBorder="1" applyAlignment="1">
      <alignment vertical="center"/>
    </xf>
    <xf numFmtId="0" fontId="0" fillId="3" borderId="0" xfId="0" applyFill="1" applyBorder="1"/>
    <xf numFmtId="0" fontId="0" fillId="3" borderId="0" xfId="0" applyFill="1"/>
    <xf numFmtId="0" fontId="5" fillId="3" borderId="17" xfId="0" applyFont="1" applyFill="1" applyBorder="1"/>
    <xf numFmtId="0" fontId="5" fillId="3" borderId="18" xfId="0" applyFont="1" applyFill="1" applyBorder="1"/>
    <xf numFmtId="0" fontId="5" fillId="0" borderId="17" xfId="7" applyFont="1" applyFill="1" applyBorder="1" applyAlignment="1">
      <alignment vertical="center"/>
    </xf>
    <xf numFmtId="0" fontId="5" fillId="0" borderId="0" xfId="7" applyFont="1" applyFill="1" applyBorder="1" applyAlignment="1">
      <alignment vertical="center"/>
    </xf>
    <xf numFmtId="0" fontId="5" fillId="0" borderId="18" xfId="7" applyFont="1" applyFill="1" applyBorder="1" applyAlignment="1">
      <alignment vertical="center"/>
    </xf>
    <xf numFmtId="0" fontId="0" fillId="0" borderId="0" xfId="0" applyFill="1" applyBorder="1"/>
    <xf numFmtId="0" fontId="5" fillId="0" borderId="0" xfId="0" applyFont="1" applyFill="1"/>
    <xf numFmtId="0" fontId="5" fillId="0" borderId="17" xfId="0" applyFont="1" applyBorder="1"/>
    <xf numFmtId="0" fontId="5" fillId="0" borderId="18" xfId="0" applyFont="1" applyBorder="1"/>
    <xf numFmtId="0" fontId="0" fillId="0" borderId="0" xfId="0" applyAlignment="1">
      <alignment vertical="center"/>
    </xf>
    <xf numFmtId="3" fontId="0" fillId="0" borderId="17" xfId="7" applyNumberFormat="1" applyFont="1" applyFill="1" applyBorder="1" applyAlignment="1">
      <alignment vertical="center"/>
    </xf>
    <xf numFmtId="3" fontId="0" fillId="0" borderId="0" xfId="7" applyNumberFormat="1" applyFont="1" applyFill="1" applyBorder="1" applyAlignment="1">
      <alignment vertical="center"/>
    </xf>
    <xf numFmtId="3" fontId="0" fillId="0" borderId="18" xfId="7" applyNumberFormat="1" applyFont="1" applyFill="1" applyBorder="1" applyAlignment="1">
      <alignment vertical="center"/>
    </xf>
    <xf numFmtId="3" fontId="0" fillId="0" borderId="0" xfId="0" applyNumberFormat="1" applyFill="1"/>
    <xf numFmtId="3" fontId="0" fillId="0" borderId="17" xfId="0" applyNumberFormat="1" applyBorder="1"/>
    <xf numFmtId="3" fontId="0" fillId="0" borderId="0" xfId="0" applyNumberFormat="1" applyBorder="1"/>
    <xf numFmtId="0" fontId="0" fillId="0" borderId="18" xfId="0" applyBorder="1"/>
    <xf numFmtId="3" fontId="0" fillId="0" borderId="18" xfId="0" applyNumberFormat="1" applyBorder="1"/>
    <xf numFmtId="0" fontId="0" fillId="0" borderId="0" xfId="0" applyFont="1" applyFill="1" applyBorder="1" applyAlignment="1">
      <alignment horizontal="center" wrapText="1"/>
    </xf>
    <xf numFmtId="3" fontId="0" fillId="0" borderId="18" xfId="0" applyNumberFormat="1" applyFill="1" applyBorder="1" applyAlignment="1">
      <alignment horizontal="center"/>
    </xf>
    <xf numFmtId="3" fontId="0" fillId="0" borderId="19" xfId="7" applyNumberFormat="1" applyFont="1" applyFill="1" applyBorder="1" applyAlignment="1">
      <alignment vertical="center"/>
    </xf>
    <xf numFmtId="3" fontId="0" fillId="0" borderId="4" xfId="7" applyNumberFormat="1" applyFont="1" applyFill="1" applyBorder="1" applyAlignment="1">
      <alignment vertical="center"/>
    </xf>
    <xf numFmtId="0" fontId="0" fillId="0" borderId="4" xfId="0" applyFont="1" applyFill="1" applyBorder="1" applyAlignment="1">
      <alignment horizontal="center" wrapText="1"/>
    </xf>
    <xf numFmtId="3" fontId="0" fillId="0" borderId="20" xfId="0" applyNumberFormat="1" applyFill="1" applyBorder="1" applyAlignment="1">
      <alignment horizontal="center"/>
    </xf>
    <xf numFmtId="3" fontId="0" fillId="0" borderId="19" xfId="0" applyNumberFormat="1" applyBorder="1"/>
    <xf numFmtId="0" fontId="0" fillId="0" borderId="4" xfId="0" applyBorder="1"/>
    <xf numFmtId="3" fontId="0" fillId="0" borderId="4" xfId="0" applyNumberFormat="1" applyBorder="1"/>
    <xf numFmtId="3" fontId="0" fillId="0" borderId="20" xfId="0" applyNumberFormat="1" applyBorder="1"/>
    <xf numFmtId="3" fontId="4" fillId="0" borderId="0" xfId="0" applyNumberFormat="1" applyFont="1"/>
    <xf numFmtId="2" fontId="0" fillId="0" borderId="0" xfId="0" applyNumberFormat="1"/>
    <xf numFmtId="0" fontId="10" fillId="0" borderId="0" xfId="0" applyFont="1"/>
    <xf numFmtId="0" fontId="0" fillId="0" borderId="0" xfId="0" applyAlignment="1">
      <alignment wrapText="1"/>
    </xf>
    <xf numFmtId="0" fontId="11" fillId="0" borderId="0" xfId="0" applyFont="1" applyFill="1" applyBorder="1"/>
    <xf numFmtId="0" fontId="12" fillId="0" borderId="3" xfId="0" applyFont="1" applyFill="1" applyBorder="1" applyAlignment="1">
      <alignment horizontal="center"/>
    </xf>
    <xf numFmtId="0" fontId="12" fillId="0" borderId="0" xfId="0" applyFont="1" applyFill="1" applyBorder="1" applyAlignment="1">
      <alignment horizontal="center" vertical="center" wrapText="1"/>
    </xf>
    <xf numFmtId="0" fontId="12" fillId="0" borderId="0" xfId="0" applyFont="1" applyFill="1" applyBorder="1" applyAlignment="1">
      <alignment horizontal="right"/>
    </xf>
    <xf numFmtId="0" fontId="12" fillId="0" borderId="0" xfId="0" applyFont="1" applyFill="1" applyBorder="1" applyAlignment="1">
      <alignment horizontal="right" wrapText="1"/>
    </xf>
    <xf numFmtId="0" fontId="13" fillId="0" borderId="0" xfId="0" applyFont="1" applyFill="1" applyBorder="1"/>
    <xf numFmtId="0" fontId="15" fillId="0" borderId="0" xfId="0" applyFont="1"/>
    <xf numFmtId="0" fontId="0" fillId="0" borderId="0" xfId="0" applyFill="1" applyAlignment="1">
      <alignment wrapText="1"/>
    </xf>
    <xf numFmtId="167" fontId="0" fillId="0" borderId="0" xfId="1" applyNumberFormat="1" applyFont="1"/>
    <xf numFmtId="167" fontId="4" fillId="0" borderId="0" xfId="1" applyNumberFormat="1" applyFont="1"/>
    <xf numFmtId="167" fontId="0" fillId="0" borderId="0" xfId="1" applyNumberFormat="1" applyFont="1" applyFill="1"/>
    <xf numFmtId="165" fontId="4" fillId="0" borderId="0" xfId="0" applyNumberFormat="1" applyFont="1"/>
    <xf numFmtId="0" fontId="0" fillId="2" borderId="9" xfId="0" applyFill="1" applyBorder="1"/>
    <xf numFmtId="167" fontId="0" fillId="0" borderId="0" xfId="0" applyNumberFormat="1"/>
    <xf numFmtId="0" fontId="6" fillId="0" borderId="9" xfId="0" applyFont="1" applyFill="1" applyBorder="1"/>
    <xf numFmtId="0" fontId="7" fillId="0" borderId="0" xfId="0" applyFont="1" applyFill="1"/>
    <xf numFmtId="0" fontId="4" fillId="0" borderId="0" xfId="0" applyFont="1" applyFill="1"/>
    <xf numFmtId="0" fontId="5" fillId="5" borderId="22" xfId="0" applyFont="1" applyFill="1" applyBorder="1" applyAlignment="1">
      <alignment horizontal="center"/>
    </xf>
    <xf numFmtId="0" fontId="5" fillId="5" borderId="23" xfId="0" applyFont="1" applyFill="1" applyBorder="1" applyAlignment="1">
      <alignment horizontal="center"/>
    </xf>
    <xf numFmtId="0" fontId="17" fillId="0" borderId="0" xfId="0" applyFont="1" applyAlignment="1">
      <alignment vertical="center"/>
    </xf>
    <xf numFmtId="0" fontId="18" fillId="0" borderId="0" xfId="0" applyFont="1"/>
    <xf numFmtId="0" fontId="18" fillId="0" borderId="0" xfId="0" applyFont="1" applyAlignment="1">
      <alignment vertical="center" wrapText="1"/>
    </xf>
    <xf numFmtId="0" fontId="5" fillId="7" borderId="27" xfId="0" applyFont="1" applyFill="1" applyBorder="1" applyAlignment="1">
      <alignment horizontal="center"/>
    </xf>
    <xf numFmtId="0" fontId="0" fillId="7" borderId="31" xfId="0" applyFont="1" applyFill="1" applyBorder="1" applyAlignment="1">
      <alignment horizontal="center"/>
    </xf>
    <xf numFmtId="0" fontId="0" fillId="7" borderId="32" xfId="0" applyFont="1" applyFill="1" applyBorder="1" applyAlignment="1">
      <alignment horizontal="center"/>
    </xf>
    <xf numFmtId="0" fontId="0" fillId="0" borderId="0" xfId="0" applyFont="1" applyAlignment="1">
      <alignment horizontal="right"/>
    </xf>
    <xf numFmtId="0" fontId="0" fillId="0" borderId="0" xfId="0" applyFont="1" applyAlignment="1">
      <alignment horizontal="left"/>
    </xf>
    <xf numFmtId="44" fontId="0" fillId="7" borderId="31" xfId="0" applyNumberFormat="1" applyFont="1" applyFill="1" applyBorder="1" applyAlignment="1">
      <alignment horizontal="center"/>
    </xf>
    <xf numFmtId="43" fontId="0" fillId="7" borderId="31" xfId="0" applyNumberFormat="1" applyFont="1" applyFill="1" applyBorder="1" applyAlignment="1">
      <alignment horizontal="center"/>
    </xf>
    <xf numFmtId="43" fontId="0" fillId="0" borderId="0" xfId="9" applyFont="1" applyAlignment="1">
      <alignment horizontal="right"/>
    </xf>
    <xf numFmtId="43" fontId="0" fillId="0" borderId="0" xfId="0" applyNumberFormat="1" applyFont="1" applyAlignment="1">
      <alignment horizontal="right"/>
    </xf>
    <xf numFmtId="44" fontId="0" fillId="0" borderId="0" xfId="0" applyNumberFormat="1" applyFont="1" applyAlignment="1">
      <alignment horizontal="right"/>
    </xf>
    <xf numFmtId="44" fontId="0" fillId="0" borderId="0" xfId="0" applyNumberFormat="1"/>
    <xf numFmtId="168" fontId="5" fillId="0" borderId="0" xfId="8" applyNumberFormat="1" applyFont="1"/>
    <xf numFmtId="168" fontId="0" fillId="0" borderId="0" xfId="8" applyNumberFormat="1" applyFont="1"/>
    <xf numFmtId="0" fontId="5" fillId="8" borderId="22" xfId="0" applyFont="1" applyFill="1" applyBorder="1" applyAlignment="1">
      <alignment horizontal="center"/>
    </xf>
    <xf numFmtId="0" fontId="5" fillId="8" borderId="23" xfId="0" applyFont="1" applyFill="1" applyBorder="1" applyAlignment="1">
      <alignment horizontal="center"/>
    </xf>
    <xf numFmtId="0" fontId="5" fillId="9" borderId="33" xfId="0" applyFont="1" applyFill="1" applyBorder="1"/>
    <xf numFmtId="168" fontId="0" fillId="9" borderId="3" xfId="0" applyNumberFormat="1" applyFill="1" applyBorder="1"/>
    <xf numFmtId="0" fontId="5" fillId="0" borderId="0" xfId="0" applyFont="1" applyAlignment="1">
      <alignment horizontal="center"/>
    </xf>
    <xf numFmtId="0" fontId="5" fillId="10" borderId="22" xfId="0" applyFont="1" applyFill="1" applyBorder="1" applyAlignment="1">
      <alignment horizontal="center"/>
    </xf>
    <xf numFmtId="0" fontId="5" fillId="10" borderId="23" xfId="0" applyFont="1" applyFill="1" applyBorder="1" applyAlignment="1">
      <alignment horizontal="center"/>
    </xf>
    <xf numFmtId="0" fontId="5" fillId="11" borderId="33" xfId="0" applyFont="1" applyFill="1" applyBorder="1"/>
    <xf numFmtId="168" fontId="0" fillId="11" borderId="3" xfId="0" applyNumberFormat="1" applyFill="1" applyBorder="1"/>
    <xf numFmtId="0" fontId="5" fillId="7" borderId="19" xfId="0" applyFont="1" applyFill="1" applyBorder="1" applyAlignment="1">
      <alignment horizontal="center"/>
    </xf>
    <xf numFmtId="168" fontId="0" fillId="7" borderId="25" xfId="0" applyNumberFormat="1" applyFill="1" applyBorder="1"/>
    <xf numFmtId="0" fontId="5" fillId="7" borderId="33" xfId="0" applyFont="1" applyFill="1" applyBorder="1" applyAlignment="1">
      <alignment horizontal="center"/>
    </xf>
    <xf numFmtId="168" fontId="0" fillId="7" borderId="3" xfId="0" applyNumberFormat="1" applyFill="1" applyBorder="1"/>
    <xf numFmtId="0" fontId="19" fillId="0" borderId="12" xfId="0" applyFont="1" applyBorder="1" applyAlignment="1">
      <alignment vertical="center"/>
    </xf>
    <xf numFmtId="0" fontId="19" fillId="0" borderId="0" xfId="0" applyFont="1" applyAlignment="1">
      <alignment vertical="center"/>
    </xf>
    <xf numFmtId="0" fontId="20" fillId="12" borderId="29" xfId="0" applyFont="1" applyFill="1" applyBorder="1" applyAlignment="1">
      <alignment horizontal="center" vertical="center"/>
    </xf>
    <xf numFmtId="0" fontId="20" fillId="12" borderId="13" xfId="0" applyFont="1" applyFill="1" applyBorder="1" applyAlignment="1">
      <alignment horizontal="center" vertical="center"/>
    </xf>
    <xf numFmtId="0" fontId="20" fillId="12" borderId="26" xfId="0" applyFont="1" applyFill="1" applyBorder="1" applyAlignment="1">
      <alignment horizontal="center" vertical="center"/>
    </xf>
    <xf numFmtId="0" fontId="21" fillId="13" borderId="23" xfId="0" applyFont="1" applyFill="1" applyBorder="1" applyAlignment="1">
      <alignment horizontal="center" vertical="center"/>
    </xf>
    <xf numFmtId="0" fontId="21" fillId="13" borderId="13" xfId="0" applyFont="1" applyFill="1" applyBorder="1" applyAlignment="1">
      <alignment horizontal="center" vertical="center"/>
    </xf>
    <xf numFmtId="0" fontId="21" fillId="13" borderId="29" xfId="0" applyFont="1" applyFill="1" applyBorder="1" applyAlignment="1">
      <alignment horizontal="center" vertical="center"/>
    </xf>
    <xf numFmtId="0" fontId="21" fillId="0" borderId="23" xfId="0" applyFont="1" applyBorder="1" applyAlignment="1">
      <alignment horizontal="center" vertical="center"/>
    </xf>
    <xf numFmtId="0" fontId="21" fillId="0" borderId="13" xfId="0" applyFont="1" applyBorder="1" applyAlignment="1">
      <alignment horizontal="center" vertical="center"/>
    </xf>
    <xf numFmtId="0" fontId="21" fillId="0" borderId="29" xfId="0" applyFont="1" applyBorder="1" applyAlignment="1">
      <alignment horizontal="center" vertical="center"/>
    </xf>
    <xf numFmtId="0" fontId="20" fillId="12" borderId="13" xfId="0" applyFont="1" applyFill="1" applyBorder="1" applyAlignment="1">
      <alignment horizontal="center" vertical="center" wrapText="1"/>
    </xf>
    <xf numFmtId="167" fontId="21" fillId="13" borderId="13" xfId="1" applyNumberFormat="1" applyFont="1" applyFill="1" applyBorder="1" applyAlignment="1">
      <alignment horizontal="center" vertical="center"/>
    </xf>
    <xf numFmtId="167" fontId="21" fillId="13" borderId="12" xfId="1" applyNumberFormat="1" applyFont="1" applyFill="1" applyBorder="1" applyAlignment="1">
      <alignment horizontal="center" vertical="center"/>
    </xf>
    <xf numFmtId="167" fontId="21" fillId="13" borderId="29" xfId="1" applyNumberFormat="1" applyFont="1" applyFill="1" applyBorder="1" applyAlignment="1">
      <alignment horizontal="center" vertical="center"/>
    </xf>
    <xf numFmtId="167" fontId="21" fillId="0" borderId="13" xfId="1" applyNumberFormat="1" applyFont="1" applyBorder="1" applyAlignment="1">
      <alignment horizontal="center" vertical="center"/>
    </xf>
    <xf numFmtId="167" fontId="21" fillId="0" borderId="12" xfId="1" applyNumberFormat="1" applyFont="1" applyBorder="1" applyAlignment="1">
      <alignment horizontal="center" vertical="center"/>
    </xf>
    <xf numFmtId="167" fontId="21" fillId="0" borderId="29" xfId="1" applyNumberFormat="1" applyFont="1" applyBorder="1" applyAlignment="1">
      <alignment horizontal="center" vertical="center"/>
    </xf>
    <xf numFmtId="165" fontId="0" fillId="0" borderId="0" xfId="0" applyNumberFormat="1" applyFill="1"/>
    <xf numFmtId="165" fontId="0" fillId="0" borderId="0" xfId="0" applyNumberFormat="1" applyFill="1" applyBorder="1"/>
    <xf numFmtId="9" fontId="0" fillId="0" borderId="0" xfId="0" applyNumberFormat="1"/>
    <xf numFmtId="168" fontId="0" fillId="0" borderId="0" xfId="0" applyNumberFormat="1"/>
    <xf numFmtId="0" fontId="5" fillId="14" borderId="34" xfId="0" applyFont="1" applyFill="1" applyBorder="1" applyAlignment="1">
      <alignment horizontal="center"/>
    </xf>
    <xf numFmtId="0" fontId="5" fillId="14" borderId="22" xfId="0" applyFont="1" applyFill="1" applyBorder="1" applyAlignment="1">
      <alignment horizontal="center"/>
    </xf>
    <xf numFmtId="0" fontId="5" fillId="0" borderId="0" xfId="0" applyFont="1" applyFill="1" applyBorder="1"/>
    <xf numFmtId="0" fontId="5" fillId="0" borderId="0" xfId="0" applyFont="1" applyFill="1" applyBorder="1" applyAlignment="1">
      <alignment horizontal="center"/>
    </xf>
    <xf numFmtId="0" fontId="5" fillId="14" borderId="34" xfId="0" applyFont="1" applyFill="1" applyBorder="1" applyAlignment="1">
      <alignment horizontal="right"/>
    </xf>
    <xf numFmtId="0" fontId="0" fillId="14" borderId="37" xfId="0" applyFont="1" applyFill="1" applyBorder="1" applyAlignment="1">
      <alignment horizontal="center"/>
    </xf>
    <xf numFmtId="0" fontId="0" fillId="14" borderId="38" xfId="0" applyFont="1" applyFill="1" applyBorder="1" applyAlignment="1">
      <alignment horizontal="center"/>
    </xf>
    <xf numFmtId="0" fontId="0" fillId="14" borderId="39" xfId="0" applyFont="1" applyFill="1" applyBorder="1" applyAlignment="1">
      <alignment horizontal="center"/>
    </xf>
    <xf numFmtId="0" fontId="5" fillId="0" borderId="0" xfId="0" applyFont="1" applyFill="1" applyBorder="1" applyAlignment="1">
      <alignment horizontal="right"/>
    </xf>
    <xf numFmtId="0" fontId="0" fillId="0" borderId="0" xfId="0" applyFont="1" applyFill="1" applyBorder="1" applyAlignment="1">
      <alignment horizontal="center"/>
    </xf>
    <xf numFmtId="0" fontId="0" fillId="14" borderId="40" xfId="0" applyFill="1" applyBorder="1" applyAlignment="1">
      <alignment horizontal="right"/>
    </xf>
    <xf numFmtId="0" fontId="0" fillId="0" borderId="0" xfId="0" applyFill="1" applyBorder="1" applyAlignment="1">
      <alignment horizontal="right"/>
    </xf>
    <xf numFmtId="0" fontId="0" fillId="0" borderId="0" xfId="0" applyFill="1" applyBorder="1" applyAlignment="1">
      <alignment horizontal="center"/>
    </xf>
    <xf numFmtId="1" fontId="0" fillId="0" borderId="0" xfId="0" applyNumberFormat="1" applyFill="1" applyBorder="1" applyAlignment="1">
      <alignment horizontal="center"/>
    </xf>
    <xf numFmtId="0" fontId="0" fillId="14" borderId="46" xfId="0" applyFill="1" applyBorder="1" applyAlignment="1">
      <alignment horizontal="right"/>
    </xf>
    <xf numFmtId="0" fontId="5" fillId="14" borderId="37" xfId="0" applyFont="1" applyFill="1" applyBorder="1" applyAlignment="1">
      <alignment horizontal="right"/>
    </xf>
    <xf numFmtId="1" fontId="5" fillId="14" borderId="37" xfId="0" applyNumberFormat="1" applyFont="1" applyFill="1" applyBorder="1" applyAlignment="1">
      <alignment horizontal="center"/>
    </xf>
    <xf numFmtId="1" fontId="5" fillId="0" borderId="0" xfId="0" applyNumberFormat="1" applyFont="1" applyFill="1" applyBorder="1" applyAlignment="1">
      <alignment horizontal="center"/>
    </xf>
    <xf numFmtId="165" fontId="0" fillId="0" borderId="0" xfId="9" applyNumberFormat="1" applyFont="1" applyAlignment="1">
      <alignment horizontal="right"/>
    </xf>
    <xf numFmtId="0" fontId="0" fillId="0" borderId="0" xfId="0" applyAlignment="1">
      <alignment horizontal="center"/>
    </xf>
    <xf numFmtId="0" fontId="5" fillId="10" borderId="33" xfId="0" applyFont="1" applyFill="1" applyBorder="1"/>
    <xf numFmtId="0" fontId="0" fillId="10" borderId="2" xfId="0" applyFill="1" applyBorder="1" applyAlignment="1">
      <alignment horizontal="center"/>
    </xf>
    <xf numFmtId="0" fontId="0" fillId="10" borderId="2" xfId="0" applyFill="1" applyBorder="1"/>
    <xf numFmtId="0" fontId="0" fillId="10" borderId="24" xfId="0" applyFill="1" applyBorder="1"/>
    <xf numFmtId="0" fontId="5" fillId="14" borderId="33" xfId="0" applyFont="1" applyFill="1" applyBorder="1" applyAlignment="1">
      <alignment horizontal="left"/>
    </xf>
    <xf numFmtId="0" fontId="0" fillId="14" borderId="2" xfId="0" applyFill="1" applyBorder="1" applyAlignment="1">
      <alignment horizontal="center"/>
    </xf>
    <xf numFmtId="0" fontId="0" fillId="14" borderId="2" xfId="0" applyFill="1" applyBorder="1"/>
    <xf numFmtId="0" fontId="0" fillId="14" borderId="24" xfId="0" applyFill="1" applyBorder="1"/>
    <xf numFmtId="0" fontId="6" fillId="6" borderId="24" xfId="0" applyFont="1" applyFill="1" applyBorder="1" applyAlignment="1">
      <alignment horizontal="center"/>
    </xf>
    <xf numFmtId="0" fontId="6" fillId="6" borderId="3" xfId="0" applyFont="1" applyFill="1" applyBorder="1" applyAlignment="1">
      <alignment horizontal="center"/>
    </xf>
    <xf numFmtId="0" fontId="22" fillId="6" borderId="3" xfId="0" applyFont="1" applyFill="1" applyBorder="1" applyAlignment="1">
      <alignment horizontal="center"/>
    </xf>
    <xf numFmtId="17" fontId="5" fillId="3" borderId="3" xfId="0" applyNumberFormat="1" applyFont="1" applyFill="1" applyBorder="1" applyAlignment="1">
      <alignment horizontal="center" vertical="top"/>
    </xf>
    <xf numFmtId="0" fontId="23" fillId="3" borderId="3" xfId="0" applyFont="1" applyFill="1" applyBorder="1" applyAlignment="1">
      <alignment horizontal="center"/>
    </xf>
    <xf numFmtId="17" fontId="0" fillId="0" borderId="0" xfId="0" applyNumberFormat="1"/>
    <xf numFmtId="0" fontId="0" fillId="15" borderId="3" xfId="0" applyFill="1" applyBorder="1"/>
    <xf numFmtId="0" fontId="0" fillId="15" borderId="25" xfId="0" applyFill="1" applyBorder="1"/>
    <xf numFmtId="0" fontId="0" fillId="0" borderId="3" xfId="0" applyBorder="1"/>
    <xf numFmtId="0" fontId="0" fillId="16" borderId="3" xfId="0" applyFill="1" applyBorder="1"/>
    <xf numFmtId="0" fontId="1" fillId="16" borderId="3" xfId="11" applyFill="1" applyBorder="1"/>
    <xf numFmtId="0" fontId="24" fillId="0" borderId="3" xfId="0" applyFont="1" applyBorder="1"/>
    <xf numFmtId="0" fontId="24" fillId="16" borderId="3" xfId="0" applyFont="1" applyFill="1" applyBorder="1"/>
    <xf numFmtId="0" fontId="5" fillId="15" borderId="0" xfId="0" applyFont="1" applyFill="1" applyBorder="1"/>
    <xf numFmtId="0" fontId="5" fillId="15" borderId="3" xfId="0" applyFont="1" applyFill="1" applyBorder="1"/>
    <xf numFmtId="0" fontId="5" fillId="6" borderId="3" xfId="0" applyFont="1" applyFill="1" applyBorder="1"/>
    <xf numFmtId="1" fontId="0" fillId="17" borderId="3" xfId="0" applyNumberFormat="1" applyFont="1" applyFill="1" applyBorder="1"/>
    <xf numFmtId="0" fontId="5" fillId="17" borderId="3" xfId="0" applyFont="1" applyFill="1" applyBorder="1"/>
    <xf numFmtId="1" fontId="5" fillId="2" borderId="3" xfId="0" applyNumberFormat="1" applyFont="1" applyFill="1" applyBorder="1"/>
    <xf numFmtId="0" fontId="5" fillId="2" borderId="3" xfId="0" applyFont="1" applyFill="1" applyBorder="1"/>
    <xf numFmtId="1" fontId="5" fillId="6" borderId="3" xfId="0" applyNumberFormat="1" applyFont="1" applyFill="1" applyBorder="1" applyAlignment="1">
      <alignment horizontal="center" vertical="center"/>
    </xf>
    <xf numFmtId="0" fontId="24" fillId="3" borderId="3" xfId="0" applyFont="1" applyFill="1" applyBorder="1" applyAlignment="1">
      <alignment horizontal="center" vertical="center"/>
    </xf>
    <xf numFmtId="3" fontId="0" fillId="0" borderId="3" xfId="0" applyNumberFormat="1" applyBorder="1"/>
    <xf numFmtId="0" fontId="5" fillId="18" borderId="0" xfId="0" applyFont="1" applyFill="1" applyBorder="1"/>
    <xf numFmtId="0" fontId="0" fillId="18" borderId="0" xfId="0" applyFill="1"/>
    <xf numFmtId="0" fontId="5" fillId="15" borderId="49" xfId="0" applyFont="1" applyFill="1" applyBorder="1"/>
    <xf numFmtId="1" fontId="5" fillId="2" borderId="49" xfId="0" applyNumberFormat="1" applyFont="1" applyFill="1" applyBorder="1"/>
    <xf numFmtId="0" fontId="5" fillId="2" borderId="49" xfId="0" applyFont="1" applyFill="1" applyBorder="1"/>
    <xf numFmtId="1" fontId="5" fillId="8" borderId="3" xfId="0" applyNumberFormat="1" applyFont="1" applyFill="1" applyBorder="1"/>
    <xf numFmtId="0" fontId="5" fillId="8" borderId="3" xfId="0" applyFont="1" applyFill="1" applyBorder="1"/>
    <xf numFmtId="1" fontId="5" fillId="0" borderId="0" xfId="0" applyNumberFormat="1" applyFont="1" applyFill="1" applyBorder="1"/>
    <xf numFmtId="1" fontId="5" fillId="0" borderId="0" xfId="0" applyNumberFormat="1" applyFont="1" applyFill="1" applyBorder="1" applyAlignment="1">
      <alignment horizontal="center" vertical="center"/>
    </xf>
    <xf numFmtId="0" fontId="5" fillId="8" borderId="0" xfId="0" applyFont="1" applyFill="1"/>
    <xf numFmtId="169" fontId="0" fillId="0" borderId="36" xfId="0" applyNumberFormat="1" applyBorder="1"/>
    <xf numFmtId="0" fontId="0" fillId="8" borderId="0" xfId="0" applyFill="1"/>
    <xf numFmtId="169" fontId="0" fillId="0" borderId="45" xfId="0" applyNumberFormat="1" applyBorder="1"/>
    <xf numFmtId="0" fontId="0" fillId="0" borderId="2" xfId="0" applyBorder="1"/>
    <xf numFmtId="0" fontId="0" fillId="0" borderId="24" xfId="0" applyBorder="1"/>
    <xf numFmtId="0" fontId="5" fillId="0" borderId="4" xfId="0" applyFont="1" applyBorder="1"/>
    <xf numFmtId="0" fontId="0" fillId="0" borderId="20" xfId="0" applyBorder="1"/>
    <xf numFmtId="0" fontId="0" fillId="0" borderId="10" xfId="0" applyBorder="1"/>
    <xf numFmtId="0" fontId="0" fillId="0" borderId="45" xfId="0" applyBorder="1"/>
    <xf numFmtId="0" fontId="5" fillId="0" borderId="3" xfId="0" applyFont="1" applyBorder="1"/>
    <xf numFmtId="0" fontId="5" fillId="0" borderId="2" xfId="0" applyFont="1" applyBorder="1"/>
    <xf numFmtId="9" fontId="0" fillId="0" borderId="45" xfId="0" applyNumberFormat="1" applyBorder="1"/>
    <xf numFmtId="9" fontId="0" fillId="0" borderId="39" xfId="0" applyNumberFormat="1" applyBorder="1"/>
    <xf numFmtId="0" fontId="0" fillId="6" borderId="6" xfId="0" applyFill="1" applyBorder="1"/>
    <xf numFmtId="0" fontId="5" fillId="6" borderId="9" xfId="0" applyFont="1" applyFill="1" applyBorder="1"/>
    <xf numFmtId="0" fontId="5" fillId="6" borderId="0" xfId="0" applyFont="1" applyFill="1" applyBorder="1"/>
    <xf numFmtId="0" fontId="5" fillId="14" borderId="3" xfId="0" applyFont="1" applyFill="1" applyBorder="1" applyAlignment="1">
      <alignment horizontal="center" vertical="top" wrapText="1"/>
    </xf>
    <xf numFmtId="0" fontId="5" fillId="14" borderId="45" xfId="0" applyFont="1" applyFill="1" applyBorder="1" applyAlignment="1">
      <alignment vertical="top" wrapText="1"/>
    </xf>
    <xf numFmtId="0" fontId="5" fillId="0" borderId="44" xfId="0" applyFont="1" applyBorder="1"/>
    <xf numFmtId="0" fontId="5" fillId="0" borderId="3" xfId="0" applyFont="1" applyBorder="1" applyAlignment="1">
      <alignment horizontal="center"/>
    </xf>
    <xf numFmtId="0" fontId="5" fillId="0" borderId="45" xfId="0" applyFont="1" applyBorder="1" applyAlignment="1">
      <alignment horizontal="center"/>
    </xf>
    <xf numFmtId="9" fontId="0" fillId="0" borderId="44" xfId="10" applyFont="1" applyBorder="1"/>
    <xf numFmtId="0" fontId="0" fillId="0" borderId="3" xfId="0" applyBorder="1" applyAlignment="1">
      <alignment horizontal="center"/>
    </xf>
    <xf numFmtId="2" fontId="0" fillId="0" borderId="3" xfId="0" applyNumberFormat="1" applyBorder="1" applyAlignment="1">
      <alignment horizontal="center"/>
    </xf>
    <xf numFmtId="0" fontId="5" fillId="14" borderId="3" xfId="0" applyFont="1" applyFill="1" applyBorder="1" applyAlignment="1">
      <alignment horizontal="center"/>
    </xf>
    <xf numFmtId="0" fontId="5" fillId="14" borderId="33" xfId="0" applyFont="1" applyFill="1" applyBorder="1" applyAlignment="1">
      <alignment horizontal="center"/>
    </xf>
    <xf numFmtId="0" fontId="5" fillId="6" borderId="0" xfId="0" applyFont="1" applyFill="1" applyBorder="1" applyAlignment="1">
      <alignment horizontal="center"/>
    </xf>
    <xf numFmtId="0" fontId="5" fillId="6" borderId="10" xfId="0" applyFont="1" applyFill="1" applyBorder="1" applyAlignment="1">
      <alignment horizontal="center"/>
    </xf>
    <xf numFmtId="0" fontId="0" fillId="6" borderId="9" xfId="0" applyFill="1" applyBorder="1"/>
    <xf numFmtId="0" fontId="0" fillId="6" borderId="11" xfId="0" applyFill="1" applyBorder="1"/>
    <xf numFmtId="0" fontId="0" fillId="0" borderId="52" xfId="0" applyBorder="1"/>
    <xf numFmtId="1" fontId="0" fillId="0" borderId="52" xfId="10" applyNumberFormat="1" applyFont="1" applyBorder="1"/>
    <xf numFmtId="9" fontId="0" fillId="0" borderId="0" xfId="10" applyFont="1"/>
    <xf numFmtId="0" fontId="5" fillId="19" borderId="3" xfId="0" applyFont="1" applyFill="1" applyBorder="1" applyAlignment="1">
      <alignment horizontal="center" vertical="center"/>
    </xf>
    <xf numFmtId="170" fontId="5" fillId="19" borderId="3" xfId="0" applyNumberFormat="1" applyFont="1" applyFill="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5" fillId="0" borderId="3" xfId="0" applyFont="1" applyBorder="1" applyAlignment="1">
      <alignment horizontal="center" vertical="center"/>
    </xf>
    <xf numFmtId="0" fontId="0" fillId="0" borderId="3" xfId="0" applyNumberFormat="1" applyBorder="1" applyAlignment="1">
      <alignment horizontal="center" vertical="center"/>
    </xf>
    <xf numFmtId="0" fontId="5" fillId="0" borderId="3" xfId="0" applyNumberFormat="1" applyFont="1" applyBorder="1" applyAlignment="1">
      <alignment horizontal="center" vertical="center"/>
    </xf>
    <xf numFmtId="9" fontId="0" fillId="0" borderId="3" xfId="10" applyFont="1" applyBorder="1" applyAlignment="1">
      <alignment horizontal="center" vertical="center"/>
    </xf>
    <xf numFmtId="0" fontId="5" fillId="0" borderId="24" xfId="0" applyFont="1" applyBorder="1" applyAlignment="1">
      <alignment horizontal="center" vertical="center"/>
    </xf>
    <xf numFmtId="0" fontId="5" fillId="19" borderId="3" xfId="0" applyNumberFormat="1" applyFont="1" applyFill="1" applyBorder="1" applyAlignment="1">
      <alignment horizontal="center" vertical="center"/>
    </xf>
    <xf numFmtId="9" fontId="0" fillId="0" borderId="3" xfId="0" applyNumberFormat="1" applyBorder="1" applyAlignment="1">
      <alignment horizontal="center" vertical="center"/>
    </xf>
    <xf numFmtId="0" fontId="5" fillId="0" borderId="50" xfId="0" applyFont="1" applyFill="1" applyBorder="1" applyAlignment="1">
      <alignment horizontal="center" vertical="center"/>
    </xf>
    <xf numFmtId="0" fontId="5" fillId="2" borderId="3" xfId="0" applyFont="1" applyFill="1" applyBorder="1" applyAlignment="1">
      <alignment horizontal="center" vertical="center"/>
    </xf>
    <xf numFmtId="17" fontId="0" fillId="0" borderId="3" xfId="0" applyNumberFormat="1" applyBorder="1"/>
    <xf numFmtId="0" fontId="0" fillId="0" borderId="3" xfId="0" applyBorder="1" applyAlignment="1">
      <alignment horizontal="left" vertical="center" indent="1"/>
    </xf>
    <xf numFmtId="0" fontId="0" fillId="0" borderId="0" xfId="0" applyAlignment="1">
      <alignment horizontal="left" vertical="center"/>
    </xf>
    <xf numFmtId="1" fontId="0" fillId="6" borderId="3" xfId="0" applyNumberFormat="1" applyFill="1" applyBorder="1"/>
    <xf numFmtId="0" fontId="0" fillId="6" borderId="3" xfId="0" applyFill="1" applyBorder="1"/>
    <xf numFmtId="0" fontId="0" fillId="0" borderId="3" xfId="0" applyBorder="1" applyAlignment="1">
      <alignment horizontal="left" indent="1"/>
    </xf>
    <xf numFmtId="165" fontId="0" fillId="0" borderId="0" xfId="9" applyNumberFormat="1" applyFont="1"/>
    <xf numFmtId="0" fontId="0" fillId="8" borderId="6" xfId="0" applyFill="1" applyBorder="1"/>
    <xf numFmtId="0" fontId="0" fillId="8" borderId="7" xfId="0" applyFill="1" applyBorder="1"/>
    <xf numFmtId="0" fontId="0" fillId="8" borderId="8" xfId="0" applyFill="1" applyBorder="1"/>
    <xf numFmtId="0" fontId="0" fillId="8" borderId="9" xfId="0" applyFill="1" applyBorder="1"/>
    <xf numFmtId="0" fontId="5" fillId="6" borderId="3" xfId="0" applyFont="1" applyFill="1" applyBorder="1" applyAlignment="1">
      <alignment horizontal="center" vertical="center"/>
    </xf>
    <xf numFmtId="0" fontId="0" fillId="8" borderId="10" xfId="0" applyFill="1" applyBorder="1"/>
    <xf numFmtId="165" fontId="0" fillId="0" borderId="3" xfId="9" applyNumberFormat="1" applyFont="1" applyBorder="1" applyAlignment="1">
      <alignment horizontal="center" vertical="center"/>
    </xf>
    <xf numFmtId="43" fontId="0" fillId="0" borderId="3" xfId="0" applyNumberFormat="1" applyBorder="1" applyAlignment="1">
      <alignment horizontal="center" vertical="center"/>
    </xf>
    <xf numFmtId="0" fontId="0" fillId="8" borderId="0" xfId="0" applyFill="1" applyBorder="1"/>
    <xf numFmtId="17" fontId="0" fillId="0" borderId="0" xfId="0" applyNumberFormat="1" applyBorder="1"/>
    <xf numFmtId="0" fontId="0" fillId="0" borderId="0" xfId="0" applyBorder="1" applyAlignment="1">
      <alignment horizontal="left" indent="1"/>
    </xf>
    <xf numFmtId="0" fontId="0" fillId="8" borderId="11" xfId="0" applyFill="1" applyBorder="1"/>
    <xf numFmtId="0" fontId="0" fillId="8" borderId="12" xfId="0" applyFill="1" applyBorder="1"/>
    <xf numFmtId="0" fontId="0" fillId="8" borderId="13" xfId="0" applyFill="1" applyBorder="1"/>
    <xf numFmtId="0" fontId="0" fillId="0" borderId="0" xfId="0" applyAlignment="1">
      <alignment horizontal="right"/>
    </xf>
    <xf numFmtId="165" fontId="5" fillId="0" borderId="0" xfId="0" applyNumberFormat="1" applyFont="1" applyFill="1" applyBorder="1" applyAlignment="1">
      <alignment horizontal="right"/>
    </xf>
    <xf numFmtId="172" fontId="0" fillId="0" borderId="0" xfId="1" applyNumberFormat="1" applyFont="1"/>
    <xf numFmtId="172" fontId="0" fillId="0" borderId="2" xfId="1" applyNumberFormat="1" applyFont="1" applyBorder="1"/>
    <xf numFmtId="167" fontId="0" fillId="0" borderId="2" xfId="1" applyNumberFormat="1" applyFont="1" applyBorder="1"/>
    <xf numFmtId="0" fontId="13" fillId="0" borderId="6" xfId="0" applyFont="1" applyFill="1" applyBorder="1"/>
    <xf numFmtId="0" fontId="14" fillId="0" borderId="62" xfId="0" applyFont="1" applyFill="1" applyBorder="1" applyAlignment="1">
      <alignment horizontal="right"/>
    </xf>
    <xf numFmtId="0" fontId="14" fillId="0" borderId="63" xfId="0" applyFont="1" applyFill="1" applyBorder="1" applyAlignment="1">
      <alignment horizontal="right"/>
    </xf>
    <xf numFmtId="0" fontId="14" fillId="0" borderId="7" xfId="0" applyFont="1" applyFill="1" applyBorder="1" applyAlignment="1">
      <alignment horizontal="right"/>
    </xf>
    <xf numFmtId="0" fontId="13" fillId="0" borderId="9" xfId="0" applyFont="1" applyFill="1" applyBorder="1"/>
    <xf numFmtId="0" fontId="12" fillId="0" borderId="17" xfId="0" applyFont="1" applyFill="1" applyBorder="1" applyAlignment="1">
      <alignment horizontal="right"/>
    </xf>
    <xf numFmtId="0" fontId="12" fillId="0" borderId="18" xfId="0" applyFont="1" applyFill="1" applyBorder="1" applyAlignment="1">
      <alignment horizontal="right"/>
    </xf>
    <xf numFmtId="0" fontId="11" fillId="0" borderId="9" xfId="0" applyFont="1" applyFill="1" applyBorder="1"/>
    <xf numFmtId="0" fontId="13" fillId="42" borderId="9" xfId="0" applyFont="1" applyFill="1" applyBorder="1"/>
    <xf numFmtId="167" fontId="14" fillId="0" borderId="19" xfId="66" applyNumberFormat="1" applyFont="1" applyFill="1" applyBorder="1" applyAlignment="1">
      <alignment horizontal="right"/>
    </xf>
    <xf numFmtId="167" fontId="14" fillId="0" borderId="20" xfId="66" applyNumberFormat="1" applyFont="1" applyFill="1" applyBorder="1" applyAlignment="1">
      <alignment horizontal="right"/>
    </xf>
    <xf numFmtId="0" fontId="43" fillId="0" borderId="9" xfId="0" applyFont="1" applyFill="1" applyBorder="1"/>
    <xf numFmtId="165" fontId="14" fillId="0" borderId="0" xfId="66" applyNumberFormat="1" applyFont="1" applyFill="1" applyBorder="1"/>
    <xf numFmtId="165" fontId="14" fillId="0" borderId="4" xfId="66" applyNumberFormat="1" applyFont="1" applyFill="1" applyBorder="1"/>
    <xf numFmtId="167" fontId="12" fillId="0" borderId="4" xfId="0" applyNumberFormat="1" applyFont="1" applyFill="1" applyBorder="1" applyAlignment="1">
      <alignment horizontal="right"/>
    </xf>
    <xf numFmtId="0" fontId="44" fillId="0" borderId="9" xfId="0" applyFont="1" applyFill="1" applyBorder="1"/>
    <xf numFmtId="0" fontId="12" fillId="0" borderId="64" xfId="0" applyFont="1" applyFill="1" applyBorder="1" applyAlignment="1">
      <alignment horizontal="right"/>
    </xf>
    <xf numFmtId="0" fontId="12" fillId="0" borderId="65" xfId="0" applyFont="1" applyFill="1" applyBorder="1" applyAlignment="1">
      <alignment horizontal="right"/>
    </xf>
    <xf numFmtId="0" fontId="13" fillId="0" borderId="17" xfId="0" applyFont="1" applyFill="1" applyBorder="1"/>
    <xf numFmtId="0" fontId="13" fillId="0" borderId="18" xfId="0" applyFont="1" applyFill="1" applyBorder="1"/>
    <xf numFmtId="0" fontId="14" fillId="0" borderId="0" xfId="0" applyFont="1" applyFill="1" applyBorder="1"/>
    <xf numFmtId="171" fontId="14" fillId="0" borderId="0" xfId="0" applyNumberFormat="1" applyFont="1" applyFill="1" applyBorder="1"/>
    <xf numFmtId="165" fontId="14" fillId="0" borderId="17" xfId="66" applyNumberFormat="1" applyFont="1" applyFill="1" applyBorder="1"/>
    <xf numFmtId="165" fontId="14" fillId="0" borderId="18" xfId="66" applyNumberFormat="1" applyFont="1" applyFill="1" applyBorder="1"/>
    <xf numFmtId="165" fontId="14" fillId="42" borderId="17" xfId="66" applyNumberFormat="1" applyFont="1" applyFill="1" applyBorder="1"/>
    <xf numFmtId="165" fontId="14" fillId="42" borderId="18" xfId="66" applyNumberFormat="1" applyFont="1" applyFill="1" applyBorder="1"/>
    <xf numFmtId="165" fontId="14" fillId="42" borderId="0" xfId="66" applyNumberFormat="1" applyFont="1" applyFill="1" applyBorder="1"/>
    <xf numFmtId="3" fontId="14" fillId="42" borderId="0" xfId="0" applyNumberFormat="1" applyFont="1" applyFill="1" applyBorder="1"/>
    <xf numFmtId="165" fontId="13" fillId="0" borderId="33" xfId="0" applyNumberFormat="1" applyFont="1" applyFill="1" applyBorder="1"/>
    <xf numFmtId="165" fontId="45" fillId="0" borderId="17" xfId="0" applyNumberFormat="1" applyFont="1" applyFill="1" applyBorder="1"/>
    <xf numFmtId="165" fontId="45" fillId="0" borderId="18" xfId="0" applyNumberFormat="1" applyFont="1" applyFill="1" applyBorder="1"/>
    <xf numFmtId="165" fontId="45" fillId="0" borderId="0" xfId="0" applyNumberFormat="1" applyFont="1" applyFill="1" applyBorder="1"/>
    <xf numFmtId="0" fontId="13" fillId="0" borderId="64" xfId="0" applyFont="1" applyFill="1" applyBorder="1"/>
    <xf numFmtId="0" fontId="13" fillId="0" borderId="65" xfId="0" applyFont="1" applyFill="1" applyBorder="1"/>
    <xf numFmtId="0" fontId="5" fillId="0" borderId="0" xfId="0" applyFont="1" applyAlignment="1">
      <alignment horizontal="center"/>
    </xf>
    <xf numFmtId="44" fontId="0" fillId="0" borderId="0" xfId="8" applyFont="1"/>
    <xf numFmtId="0" fontId="5" fillId="0" borderId="27" xfId="0" applyFont="1" applyBorder="1"/>
    <xf numFmtId="44" fontId="5" fillId="0" borderId="30" xfId="8" applyFont="1" applyBorder="1"/>
    <xf numFmtId="0" fontId="5" fillId="2" borderId="27" xfId="0" applyFont="1" applyFill="1" applyBorder="1"/>
    <xf numFmtId="44" fontId="5" fillId="2" borderId="30" xfId="0" applyNumberFormat="1" applyFont="1" applyFill="1" applyBorder="1"/>
    <xf numFmtId="0" fontId="21" fillId="0" borderId="13" xfId="0" applyFont="1" applyFill="1" applyBorder="1" applyAlignment="1">
      <alignment horizontal="center" vertical="center"/>
    </xf>
    <xf numFmtId="167" fontId="21" fillId="0" borderId="13" xfId="1" applyNumberFormat="1" applyFont="1" applyFill="1" applyBorder="1" applyAlignment="1">
      <alignment horizontal="center" vertical="center"/>
    </xf>
    <xf numFmtId="167" fontId="21" fillId="0" borderId="12" xfId="1" applyNumberFormat="1" applyFont="1" applyFill="1" applyBorder="1" applyAlignment="1">
      <alignment horizontal="center" vertical="center"/>
    </xf>
    <xf numFmtId="167" fontId="21" fillId="0" borderId="29" xfId="1" applyNumberFormat="1" applyFont="1" applyFill="1" applyBorder="1" applyAlignment="1">
      <alignment horizontal="center" vertical="center"/>
    </xf>
    <xf numFmtId="6" fontId="0" fillId="0" borderId="0" xfId="0" quotePrefix="1" applyNumberFormat="1"/>
    <xf numFmtId="0" fontId="0" fillId="0" borderId="0" xfId="0" quotePrefix="1"/>
    <xf numFmtId="3" fontId="12" fillId="0" borderId="14" xfId="0" applyNumberFormat="1" applyFont="1" applyFill="1" applyBorder="1" applyAlignment="1">
      <alignment horizontal="right"/>
    </xf>
    <xf numFmtId="0" fontId="45" fillId="0" borderId="11" xfId="0" applyFont="1" applyFill="1" applyBorder="1"/>
    <xf numFmtId="0" fontId="48" fillId="16" borderId="0" xfId="0" applyFont="1" applyFill="1"/>
    <xf numFmtId="0" fontId="50" fillId="44" borderId="33" xfId="0" applyFont="1" applyFill="1" applyBorder="1" applyAlignment="1">
      <alignment horizontal="center" vertical="center"/>
    </xf>
    <xf numFmtId="0" fontId="50" fillId="44" borderId="24" xfId="0" applyFont="1" applyFill="1" applyBorder="1" applyAlignment="1">
      <alignment horizontal="center" vertical="center"/>
    </xf>
    <xf numFmtId="0" fontId="48" fillId="16" borderId="66" xfId="0" applyFont="1" applyFill="1" applyBorder="1" applyAlignment="1">
      <alignment vertical="center"/>
    </xf>
    <xf numFmtId="0" fontId="48" fillId="16" borderId="16" xfId="0" applyFont="1" applyFill="1" applyBorder="1" applyAlignment="1">
      <alignment vertical="center" wrapText="1"/>
    </xf>
    <xf numFmtId="0" fontId="48" fillId="16" borderId="67" xfId="0" applyFont="1" applyFill="1" applyBorder="1" applyAlignment="1">
      <alignment vertical="center" wrapText="1"/>
    </xf>
    <xf numFmtId="0" fontId="48" fillId="16" borderId="18" xfId="0" applyFont="1" applyFill="1" applyBorder="1" applyAlignment="1">
      <alignment vertical="center"/>
    </xf>
    <xf numFmtId="0" fontId="48" fillId="16" borderId="67" xfId="0" applyFont="1" applyFill="1" applyBorder="1"/>
    <xf numFmtId="0" fontId="48" fillId="16" borderId="68" xfId="0" applyFont="1" applyFill="1" applyBorder="1"/>
    <xf numFmtId="0" fontId="48" fillId="16" borderId="20" xfId="0" applyFont="1" applyFill="1" applyBorder="1" applyAlignment="1">
      <alignment vertical="center"/>
    </xf>
    <xf numFmtId="0" fontId="5" fillId="0" borderId="0" xfId="0" applyFont="1" applyAlignment="1">
      <alignment horizontal="center"/>
    </xf>
    <xf numFmtId="0" fontId="0" fillId="45" borderId="41" xfId="0" applyFill="1" applyBorder="1" applyAlignment="1">
      <alignment horizontal="center"/>
    </xf>
    <xf numFmtId="0" fontId="0" fillId="45" borderId="42" xfId="0" applyFill="1" applyBorder="1" applyAlignment="1">
      <alignment horizontal="center"/>
    </xf>
    <xf numFmtId="0" fontId="0" fillId="45" borderId="43" xfId="0" applyFill="1" applyBorder="1" applyAlignment="1">
      <alignment horizontal="center"/>
    </xf>
    <xf numFmtId="0" fontId="0" fillId="45" borderId="40" xfId="0" applyFill="1" applyBorder="1" applyAlignment="1">
      <alignment horizontal="center"/>
    </xf>
    <xf numFmtId="0" fontId="0" fillId="45" borderId="44" xfId="0" applyFill="1" applyBorder="1" applyAlignment="1">
      <alignment horizontal="center"/>
    </xf>
    <xf numFmtId="1" fontId="0" fillId="45" borderId="45" xfId="0" applyNumberFormat="1" applyFill="1" applyBorder="1" applyAlignment="1">
      <alignment horizontal="center"/>
    </xf>
    <xf numFmtId="1" fontId="0" fillId="45" borderId="40" xfId="0" applyNumberFormat="1" applyFill="1" applyBorder="1" applyAlignment="1">
      <alignment horizontal="center"/>
    </xf>
    <xf numFmtId="1" fontId="0" fillId="45" borderId="44" xfId="0" applyNumberFormat="1" applyFill="1" applyBorder="1" applyAlignment="1">
      <alignment horizontal="center"/>
    </xf>
    <xf numFmtId="0" fontId="0" fillId="45" borderId="45" xfId="0" applyFill="1" applyBorder="1" applyAlignment="1">
      <alignment horizontal="center"/>
    </xf>
    <xf numFmtId="1" fontId="0" fillId="45" borderId="46" xfId="0" applyNumberFormat="1" applyFill="1" applyBorder="1" applyAlignment="1">
      <alignment horizontal="center"/>
    </xf>
    <xf numFmtId="0" fontId="0" fillId="45" borderId="46" xfId="0" applyFill="1" applyBorder="1" applyAlignment="1">
      <alignment horizontal="center"/>
    </xf>
    <xf numFmtId="0" fontId="0" fillId="45" borderId="47" xfId="0" applyFill="1" applyBorder="1" applyAlignment="1">
      <alignment horizontal="center"/>
    </xf>
    <xf numFmtId="0" fontId="0" fillId="45" borderId="48" xfId="0" applyFill="1" applyBorder="1" applyAlignment="1">
      <alignment horizontal="center"/>
    </xf>
    <xf numFmtId="1" fontId="0" fillId="45" borderId="47" xfId="0" applyNumberFormat="1" applyFill="1" applyBorder="1" applyAlignment="1">
      <alignment horizontal="center"/>
    </xf>
    <xf numFmtId="0" fontId="5" fillId="45" borderId="3" xfId="0" applyFont="1" applyFill="1" applyBorder="1"/>
    <xf numFmtId="0" fontId="5" fillId="45" borderId="25" xfId="0" applyFont="1" applyFill="1" applyBorder="1"/>
    <xf numFmtId="0" fontId="0" fillId="45" borderId="0" xfId="0" applyFont="1" applyFill="1" applyAlignment="1">
      <alignment horizontal="right"/>
    </xf>
    <xf numFmtId="168" fontId="0" fillId="45" borderId="0" xfId="8" applyNumberFormat="1" applyFont="1" applyFill="1"/>
    <xf numFmtId="0" fontId="5" fillId="45" borderId="3" xfId="0" applyFont="1" applyFill="1" applyBorder="1" applyAlignment="1">
      <alignment horizontal="center"/>
    </xf>
    <xf numFmtId="0" fontId="0" fillId="45" borderId="31" xfId="0" applyFont="1" applyFill="1" applyBorder="1" applyAlignment="1">
      <alignment horizontal="center"/>
    </xf>
    <xf numFmtId="0" fontId="0" fillId="45" borderId="32" xfId="0" applyFont="1" applyFill="1" applyBorder="1" applyAlignment="1">
      <alignment horizontal="center"/>
    </xf>
    <xf numFmtId="0" fontId="0" fillId="0" borderId="9" xfId="0" applyFill="1" applyBorder="1"/>
    <xf numFmtId="167" fontId="0" fillId="0" borderId="0" xfId="0" applyNumberFormat="1" applyFill="1"/>
    <xf numFmtId="0" fontId="13" fillId="45" borderId="0" xfId="0" applyFont="1" applyFill="1" applyBorder="1"/>
    <xf numFmtId="165" fontId="14" fillId="45" borderId="0" xfId="1" applyNumberFormat="1" applyFont="1" applyFill="1" applyBorder="1"/>
    <xf numFmtId="165" fontId="13" fillId="45" borderId="0" xfId="1" applyNumberFormat="1" applyFont="1" applyFill="1" applyBorder="1"/>
    <xf numFmtId="0" fontId="0" fillId="45" borderId="0" xfId="0" applyFill="1"/>
    <xf numFmtId="165" fontId="14" fillId="45" borderId="21" xfId="0" applyNumberFormat="1" applyFont="1" applyFill="1" applyBorder="1"/>
    <xf numFmtId="167" fontId="4" fillId="45" borderId="0" xfId="1" applyNumberFormat="1" applyFont="1" applyFill="1"/>
    <xf numFmtId="167" fontId="0" fillId="45" borderId="0" xfId="1" applyNumberFormat="1" applyFont="1" applyFill="1"/>
    <xf numFmtId="167" fontId="4" fillId="45" borderId="21" xfId="0" applyNumberFormat="1" applyFont="1" applyFill="1" applyBorder="1"/>
    <xf numFmtId="0" fontId="5" fillId="0" borderId="0" xfId="0" applyFont="1" applyAlignment="1">
      <alignment wrapText="1"/>
    </xf>
    <xf numFmtId="167" fontId="6" fillId="0" borderId="0" xfId="0" applyNumberFormat="1" applyFont="1"/>
    <xf numFmtId="0" fontId="14" fillId="0" borderId="0" xfId="0" applyFont="1" applyFill="1" applyBorder="1" applyAlignment="1">
      <alignment horizontal="right"/>
    </xf>
    <xf numFmtId="167" fontId="12" fillId="45" borderId="12" xfId="0" applyNumberFormat="1" applyFont="1" applyFill="1" applyBorder="1" applyAlignment="1">
      <alignment horizontal="right"/>
    </xf>
    <xf numFmtId="167" fontId="12" fillId="45" borderId="12" xfId="1" applyNumberFormat="1" applyFont="1" applyFill="1" applyBorder="1" applyAlignment="1">
      <alignment horizontal="right"/>
    </xf>
    <xf numFmtId="167" fontId="0" fillId="45" borderId="0" xfId="0" applyNumberFormat="1" applyFill="1"/>
    <xf numFmtId="167" fontId="14" fillId="0" borderId="17" xfId="1" applyNumberFormat="1" applyFont="1" applyFill="1" applyBorder="1" applyAlignment="1">
      <alignment horizontal="right"/>
    </xf>
    <xf numFmtId="167" fontId="14" fillId="0" borderId="18" xfId="1" applyNumberFormat="1" applyFont="1" applyFill="1" applyBorder="1" applyAlignment="1">
      <alignment horizontal="right"/>
    </xf>
    <xf numFmtId="0" fontId="14" fillId="0" borderId="22" xfId="0" applyFont="1" applyFill="1" applyBorder="1" applyAlignment="1">
      <alignment horizontal="right"/>
    </xf>
    <xf numFmtId="0" fontId="12" fillId="0" borderId="23" xfId="0" applyFont="1" applyFill="1" applyBorder="1" applyAlignment="1">
      <alignment horizontal="right"/>
    </xf>
    <xf numFmtId="0" fontId="0" fillId="0" borderId="23" xfId="0" applyBorder="1"/>
    <xf numFmtId="167" fontId="0" fillId="0" borderId="23" xfId="0" applyNumberFormat="1" applyFill="1" applyBorder="1"/>
    <xf numFmtId="167" fontId="5" fillId="45" borderId="21" xfId="0" applyNumberFormat="1" applyFont="1" applyFill="1" applyBorder="1"/>
    <xf numFmtId="165" fontId="14" fillId="45" borderId="0" xfId="66" applyNumberFormat="1" applyFont="1" applyFill="1" applyBorder="1"/>
    <xf numFmtId="165" fontId="13" fillId="45" borderId="2" xfId="0" applyNumberFormat="1" applyFont="1" applyFill="1" applyBorder="1"/>
    <xf numFmtId="165" fontId="45" fillId="45" borderId="12" xfId="0" applyNumberFormat="1" applyFont="1" applyFill="1" applyBorder="1"/>
    <xf numFmtId="167" fontId="45" fillId="45" borderId="12" xfId="1" applyNumberFormat="1" applyFont="1" applyFill="1" applyBorder="1"/>
    <xf numFmtId="167" fontId="45" fillId="45" borderId="29" xfId="1" applyNumberFormat="1" applyFont="1" applyFill="1" applyBorder="1"/>
    <xf numFmtId="167" fontId="5" fillId="0" borderId="23" xfId="0" applyNumberFormat="1" applyFont="1" applyBorder="1"/>
    <xf numFmtId="0" fontId="5" fillId="0" borderId="23" xfId="0" applyFont="1" applyBorder="1"/>
    <xf numFmtId="167" fontId="5" fillId="45" borderId="23" xfId="0" applyNumberFormat="1" applyFont="1" applyFill="1" applyBorder="1"/>
    <xf numFmtId="0" fontId="6" fillId="45" borderId="9" xfId="0" applyFont="1" applyFill="1" applyBorder="1"/>
    <xf numFmtId="0" fontId="0" fillId="45" borderId="0" xfId="0" applyFill="1" applyBorder="1"/>
    <xf numFmtId="165" fontId="0" fillId="45" borderId="0" xfId="0" applyNumberFormat="1" applyFill="1" applyBorder="1"/>
    <xf numFmtId="0" fontId="0" fillId="45" borderId="9" xfId="0" applyFill="1" applyBorder="1"/>
    <xf numFmtId="165" fontId="0" fillId="45" borderId="0" xfId="1" applyNumberFormat="1" applyFont="1" applyFill="1" applyBorder="1"/>
    <xf numFmtId="164" fontId="0" fillId="45" borderId="0" xfId="1" applyNumberFormat="1" applyFont="1" applyFill="1" applyBorder="1"/>
    <xf numFmtId="165" fontId="0" fillId="45" borderId="2" xfId="1" applyNumberFormat="1" applyFont="1" applyFill="1" applyBorder="1"/>
    <xf numFmtId="165" fontId="0" fillId="45" borderId="2" xfId="0" applyNumberFormat="1" applyFill="1" applyBorder="1"/>
    <xf numFmtId="165" fontId="5" fillId="45" borderId="5" xfId="0" applyNumberFormat="1" applyFont="1" applyFill="1" applyBorder="1"/>
    <xf numFmtId="165" fontId="0" fillId="45" borderId="0" xfId="0" applyNumberFormat="1" applyFont="1" applyFill="1" applyBorder="1"/>
    <xf numFmtId="165" fontId="5" fillId="0" borderId="22" xfId="0" applyNumberFormat="1" applyFont="1" applyFill="1" applyBorder="1" applyAlignment="1">
      <alignment horizontal="right"/>
    </xf>
    <xf numFmtId="165" fontId="0" fillId="0" borderId="23" xfId="0" applyNumberFormat="1" applyBorder="1"/>
    <xf numFmtId="0" fontId="0" fillId="0" borderId="29" xfId="0" applyBorder="1"/>
    <xf numFmtId="165" fontId="5" fillId="0" borderId="23" xfId="0" applyNumberFormat="1" applyFont="1" applyBorder="1"/>
    <xf numFmtId="165" fontId="5" fillId="45" borderId="0" xfId="0" applyNumberFormat="1" applyFont="1" applyFill="1" applyBorder="1" applyAlignment="1">
      <alignment horizontal="right"/>
    </xf>
    <xf numFmtId="0" fontId="5" fillId="45" borderId="0" xfId="0" applyFont="1" applyFill="1" applyBorder="1"/>
    <xf numFmtId="0" fontId="0" fillId="45" borderId="0" xfId="0" applyFont="1" applyFill="1" applyBorder="1"/>
    <xf numFmtId="0" fontId="8" fillId="45" borderId="9" xfId="0" applyFont="1" applyFill="1" applyBorder="1"/>
    <xf numFmtId="165" fontId="5" fillId="45" borderId="0" xfId="0" applyNumberFormat="1" applyFont="1" applyFill="1" applyBorder="1"/>
    <xf numFmtId="0" fontId="5" fillId="45" borderId="9" xfId="0" applyFont="1" applyFill="1" applyBorder="1"/>
    <xf numFmtId="165" fontId="5" fillId="45" borderId="5" xfId="1" applyNumberFormat="1" applyFont="1" applyFill="1" applyBorder="1"/>
    <xf numFmtId="165" fontId="5" fillId="45" borderId="0" xfId="1" applyNumberFormat="1" applyFont="1" applyFill="1" applyBorder="1"/>
    <xf numFmtId="165" fontId="5" fillId="45" borderId="0" xfId="1" applyNumberFormat="1" applyFont="1" applyFill="1" applyBorder="1" applyAlignment="1">
      <alignment horizontal="right"/>
    </xf>
    <xf numFmtId="0" fontId="0" fillId="45" borderId="9" xfId="0" applyFont="1" applyFill="1" applyBorder="1"/>
    <xf numFmtId="165" fontId="1" fillId="45" borderId="0" xfId="1" applyNumberFormat="1" applyFont="1" applyFill="1" applyBorder="1"/>
    <xf numFmtId="165" fontId="0" fillId="45" borderId="23" xfId="0" applyNumberFormat="1" applyFont="1" applyFill="1" applyBorder="1"/>
    <xf numFmtId="0" fontId="0" fillId="45" borderId="0" xfId="0" applyFont="1" applyFill="1"/>
    <xf numFmtId="165" fontId="0" fillId="45" borderId="0" xfId="1" applyNumberFormat="1" applyFont="1" applyFill="1"/>
    <xf numFmtId="164" fontId="0" fillId="45" borderId="0" xfId="1" applyFont="1" applyFill="1"/>
    <xf numFmtId="0" fontId="0" fillId="45" borderId="0" xfId="0" applyFont="1" applyFill="1" applyBorder="1" applyAlignment="1">
      <alignment wrapText="1"/>
    </xf>
    <xf numFmtId="165" fontId="0" fillId="45" borderId="4" xfId="1" applyNumberFormat="1" applyFont="1" applyFill="1" applyBorder="1"/>
    <xf numFmtId="165" fontId="0" fillId="45" borderId="0" xfId="0" applyNumberFormat="1" applyFill="1"/>
    <xf numFmtId="0" fontId="5" fillId="0" borderId="30" xfId="8" applyNumberFormat="1" applyFont="1" applyBorder="1"/>
    <xf numFmtId="0" fontId="0" fillId="0" borderId="0" xfId="8" applyNumberFormat="1" applyFont="1"/>
    <xf numFmtId="0" fontId="5" fillId="2" borderId="30" xfId="0" applyNumberFormat="1" applyFont="1" applyFill="1" applyBorder="1"/>
    <xf numFmtId="44" fontId="0" fillId="45" borderId="0" xfId="8" applyFont="1" applyFill="1"/>
    <xf numFmtId="44" fontId="0" fillId="45" borderId="0" xfId="0" applyNumberFormat="1" applyFill="1"/>
    <xf numFmtId="0" fontId="5" fillId="45" borderId="27" xfId="0" applyFont="1" applyFill="1" applyBorder="1" applyAlignment="1">
      <alignment horizontal="center"/>
    </xf>
    <xf numFmtId="1" fontId="5" fillId="45" borderId="3" xfId="0" applyNumberFormat="1" applyFont="1" applyFill="1" applyBorder="1" applyAlignment="1">
      <alignment horizontal="center" vertical="center"/>
    </xf>
    <xf numFmtId="0" fontId="13" fillId="2" borderId="0" xfId="0" applyFont="1" applyFill="1" applyBorder="1"/>
    <xf numFmtId="167" fontId="0" fillId="16" borderId="23" xfId="0" applyNumberFormat="1" applyFill="1" applyBorder="1"/>
    <xf numFmtId="0" fontId="14" fillId="0" borderId="17" xfId="0" applyFont="1" applyFill="1" applyBorder="1" applyAlignment="1">
      <alignment horizontal="right"/>
    </xf>
    <xf numFmtId="0" fontId="14" fillId="0" borderId="18" xfId="0" applyFont="1" applyFill="1" applyBorder="1" applyAlignment="1">
      <alignment horizontal="right"/>
    </xf>
    <xf numFmtId="0" fontId="14" fillId="0" borderId="23" xfId="0" applyFont="1" applyFill="1" applyBorder="1" applyAlignment="1">
      <alignment horizontal="right"/>
    </xf>
    <xf numFmtId="0" fontId="5" fillId="0" borderId="50" xfId="0" applyFont="1" applyBorder="1"/>
    <xf numFmtId="169" fontId="0" fillId="0" borderId="0" xfId="0" applyNumberFormat="1"/>
    <xf numFmtId="167" fontId="5" fillId="0" borderId="50" xfId="0" applyNumberFormat="1" applyFont="1" applyBorder="1"/>
    <xf numFmtId="165" fontId="0" fillId="0" borderId="0" xfId="1" applyNumberFormat="1" applyFont="1" applyFill="1" applyBorder="1"/>
    <xf numFmtId="165" fontId="0" fillId="0" borderId="10" xfId="1" applyNumberFormat="1" applyFont="1" applyFill="1" applyBorder="1"/>
    <xf numFmtId="0" fontId="0" fillId="0" borderId="9" xfId="0" applyFont="1" applyFill="1" applyBorder="1"/>
    <xf numFmtId="167" fontId="0" fillId="0" borderId="23" xfId="1" applyNumberFormat="1" applyFont="1" applyBorder="1"/>
    <xf numFmtId="165" fontId="0" fillId="45" borderId="10" xfId="1" applyNumberFormat="1" applyFont="1" applyFill="1" applyBorder="1"/>
    <xf numFmtId="165" fontId="0" fillId="45" borderId="10" xfId="0" applyNumberFormat="1" applyFill="1" applyBorder="1"/>
    <xf numFmtId="164" fontId="0" fillId="45" borderId="10" xfId="1" applyNumberFormat="1" applyFont="1" applyFill="1" applyBorder="1"/>
    <xf numFmtId="0" fontId="7" fillId="45" borderId="6" xfId="0" applyFont="1" applyFill="1" applyBorder="1"/>
    <xf numFmtId="0" fontId="0" fillId="45" borderId="7" xfId="0" applyFill="1" applyBorder="1"/>
    <xf numFmtId="165" fontId="5" fillId="45" borderId="7" xfId="0" applyNumberFormat="1" applyFont="1" applyFill="1" applyBorder="1" applyAlignment="1">
      <alignment horizontal="right"/>
    </xf>
    <xf numFmtId="0" fontId="0" fillId="45" borderId="23" xfId="0" applyFill="1" applyBorder="1"/>
    <xf numFmtId="164" fontId="0" fillId="45" borderId="23" xfId="0" applyNumberFormat="1" applyFill="1" applyBorder="1"/>
    <xf numFmtId="165" fontId="0" fillId="45" borderId="23" xfId="0" applyNumberFormat="1" applyFill="1" applyBorder="1"/>
    <xf numFmtId="165" fontId="5" fillId="45" borderId="10" xfId="1" applyNumberFormat="1" applyFont="1" applyFill="1" applyBorder="1"/>
    <xf numFmtId="165" fontId="1" fillId="45" borderId="10" xfId="1" applyNumberFormat="1" applyFont="1" applyFill="1" applyBorder="1"/>
    <xf numFmtId="0" fontId="0" fillId="45" borderId="11" xfId="0" applyFill="1" applyBorder="1"/>
    <xf numFmtId="0" fontId="0" fillId="45" borderId="12" xfId="0" applyFill="1" applyBorder="1"/>
    <xf numFmtId="165" fontId="0" fillId="45" borderId="12" xfId="1" applyNumberFormat="1" applyFont="1" applyFill="1" applyBorder="1"/>
    <xf numFmtId="0" fontId="0" fillId="45" borderId="6" xfId="0" applyFill="1" applyBorder="1"/>
    <xf numFmtId="165" fontId="0" fillId="45" borderId="7" xfId="1" applyNumberFormat="1" applyFont="1" applyFill="1" applyBorder="1"/>
    <xf numFmtId="0" fontId="7" fillId="45" borderId="9" xfId="0" applyFont="1" applyFill="1" applyBorder="1"/>
    <xf numFmtId="165" fontId="5" fillId="45" borderId="23" xfId="0" applyNumberFormat="1" applyFont="1" applyFill="1" applyBorder="1"/>
    <xf numFmtId="0" fontId="0" fillId="45" borderId="0" xfId="0" applyFill="1" applyBorder="1" applyAlignment="1">
      <alignment horizontal="left"/>
    </xf>
    <xf numFmtId="0" fontId="4" fillId="45" borderId="0" xfId="0" applyFont="1" applyFill="1" applyBorder="1" applyAlignment="1">
      <alignment horizontal="left"/>
    </xf>
    <xf numFmtId="165" fontId="0" fillId="45" borderId="12" xfId="0" applyNumberFormat="1" applyFill="1" applyBorder="1"/>
    <xf numFmtId="0" fontId="5" fillId="45" borderId="6" xfId="0" applyFont="1" applyFill="1" applyBorder="1"/>
    <xf numFmtId="0" fontId="16" fillId="45" borderId="9" xfId="0" applyFont="1" applyFill="1" applyBorder="1"/>
    <xf numFmtId="0" fontId="49" fillId="43" borderId="33" xfId="0" applyFont="1" applyFill="1" applyBorder="1" applyAlignment="1">
      <alignment horizontal="center" vertical="center"/>
    </xf>
    <xf numFmtId="0" fontId="49" fillId="43" borderId="24" xfId="0" applyFont="1" applyFill="1" applyBorder="1" applyAlignment="1">
      <alignment horizontal="center" vertical="center"/>
    </xf>
    <xf numFmtId="0" fontId="48" fillId="16" borderId="14" xfId="0" applyFont="1" applyFill="1" applyBorder="1" applyAlignment="1">
      <alignment horizontal="center" vertical="center" wrapText="1"/>
    </xf>
    <xf numFmtId="0" fontId="48" fillId="16" borderId="16" xfId="0" applyFont="1" applyFill="1" applyBorder="1" applyAlignment="1">
      <alignment horizontal="center" vertical="center" wrapText="1"/>
    </xf>
    <xf numFmtId="0" fontId="48" fillId="16" borderId="17" xfId="0" applyFont="1" applyFill="1" applyBorder="1" applyAlignment="1">
      <alignment horizontal="center" vertical="center" wrapText="1"/>
    </xf>
    <xf numFmtId="0" fontId="48" fillId="16" borderId="18" xfId="0" applyFont="1" applyFill="1" applyBorder="1" applyAlignment="1">
      <alignment horizontal="center" vertical="center" wrapText="1"/>
    </xf>
    <xf numFmtId="0" fontId="48" fillId="16" borderId="19" xfId="0" applyFont="1" applyFill="1" applyBorder="1" applyAlignment="1">
      <alignment horizontal="center" vertical="center" wrapText="1"/>
    </xf>
    <xf numFmtId="0" fontId="48" fillId="16" borderId="20" xfId="0" applyFont="1" applyFill="1" applyBorder="1" applyAlignment="1">
      <alignment horizontal="center" vertical="center" wrapText="1"/>
    </xf>
    <xf numFmtId="165" fontId="5" fillId="45" borderId="0" xfId="0" applyNumberFormat="1" applyFont="1" applyFill="1" applyBorder="1" applyAlignment="1">
      <alignment horizontal="center"/>
    </xf>
    <xf numFmtId="0" fontId="5" fillId="3" borderId="14" xfId="0" applyFont="1" applyFill="1" applyBorder="1" applyAlignment="1">
      <alignment horizontal="center"/>
    </xf>
    <xf numFmtId="0" fontId="5" fillId="3" borderId="15" xfId="0" applyFont="1" applyFill="1" applyBorder="1" applyAlignment="1">
      <alignment horizontal="center"/>
    </xf>
    <xf numFmtId="0" fontId="5" fillId="3" borderId="16" xfId="0" applyFont="1" applyFill="1" applyBorder="1" applyAlignment="1">
      <alignment horizontal="center"/>
    </xf>
    <xf numFmtId="0" fontId="5" fillId="16" borderId="49" xfId="0" applyFont="1" applyFill="1" applyBorder="1" applyAlignment="1">
      <alignment horizontal="center" vertical="center" wrapText="1"/>
    </xf>
    <xf numFmtId="0" fontId="5" fillId="16" borderId="50" xfId="0" applyFont="1" applyFill="1" applyBorder="1" applyAlignment="1">
      <alignment horizontal="center" vertical="center" wrapText="1"/>
    </xf>
    <xf numFmtId="0" fontId="5" fillId="16" borderId="25" xfId="0" applyFont="1" applyFill="1" applyBorder="1" applyAlignment="1">
      <alignment horizontal="center" vertical="center" wrapText="1"/>
    </xf>
    <xf numFmtId="0" fontId="5" fillId="0" borderId="0" xfId="0" applyFont="1" applyAlignment="1">
      <alignment horizontal="center"/>
    </xf>
    <xf numFmtId="0" fontId="20" fillId="12" borderId="27" xfId="0" applyFont="1" applyFill="1" applyBorder="1" applyAlignment="1">
      <alignment horizontal="center" vertical="center"/>
    </xf>
    <xf numFmtId="0" fontId="20" fillId="12" borderId="30" xfId="0" applyFont="1" applyFill="1" applyBorder="1" applyAlignment="1">
      <alignment horizontal="center" vertical="center"/>
    </xf>
    <xf numFmtId="0" fontId="20" fillId="12" borderId="28" xfId="0" applyFont="1" applyFill="1" applyBorder="1" applyAlignment="1">
      <alignment horizontal="center" vertical="center"/>
    </xf>
    <xf numFmtId="0" fontId="5" fillId="14" borderId="35" xfId="0" applyFont="1" applyFill="1" applyBorder="1" applyAlignment="1">
      <alignment horizontal="center"/>
    </xf>
    <xf numFmtId="0" fontId="5" fillId="14" borderId="36" xfId="0" applyFont="1" applyFill="1" applyBorder="1" applyAlignment="1">
      <alignment horizontal="center"/>
    </xf>
    <xf numFmtId="0" fontId="5" fillId="0" borderId="0" xfId="0" applyFont="1" applyFill="1" applyBorder="1" applyAlignment="1">
      <alignment horizontal="center"/>
    </xf>
    <xf numFmtId="0" fontId="6" fillId="0" borderId="0" xfId="0" applyFont="1" applyAlignment="1">
      <alignment horizontal="left" vertical="top" wrapText="1"/>
    </xf>
    <xf numFmtId="0" fontId="0" fillId="0" borderId="33" xfId="0" applyFont="1" applyBorder="1" applyAlignment="1">
      <alignment horizontal="left"/>
    </xf>
    <xf numFmtId="0" fontId="0" fillId="0" borderId="2" xfId="0" applyFont="1" applyBorder="1" applyAlignment="1">
      <alignment horizontal="left"/>
    </xf>
    <xf numFmtId="0" fontId="0" fillId="0" borderId="24" xfId="0" applyFont="1" applyBorder="1" applyAlignment="1">
      <alignment horizontal="left"/>
    </xf>
    <xf numFmtId="0" fontId="0" fillId="0" borderId="33" xfId="0" applyFont="1" applyBorder="1" applyAlignment="1">
      <alignment horizontal="left" wrapText="1"/>
    </xf>
    <xf numFmtId="0" fontId="0" fillId="0" borderId="2" xfId="0" applyFont="1" applyBorder="1" applyAlignment="1">
      <alignment horizontal="left" wrapText="1"/>
    </xf>
    <xf numFmtId="0" fontId="0" fillId="0" borderId="24" xfId="0" applyFont="1" applyBorder="1" applyAlignment="1">
      <alignment horizontal="left" wrapText="1"/>
    </xf>
    <xf numFmtId="0" fontId="5" fillId="14" borderId="33" xfId="0" applyFont="1" applyFill="1" applyBorder="1" applyAlignment="1">
      <alignment horizontal="left"/>
    </xf>
    <xf numFmtId="0" fontId="5" fillId="14" borderId="2" xfId="0" applyFont="1" applyFill="1" applyBorder="1" applyAlignment="1">
      <alignment horizontal="left"/>
    </xf>
    <xf numFmtId="0" fontId="5" fillId="14" borderId="24" xfId="0" applyFont="1" applyFill="1" applyBorder="1" applyAlignment="1">
      <alignment horizontal="left"/>
    </xf>
    <xf numFmtId="0" fontId="0" fillId="0" borderId="33"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24" xfId="0" applyFont="1" applyFill="1" applyBorder="1" applyAlignment="1">
      <alignment horizontal="left" vertical="top" wrapText="1"/>
    </xf>
    <xf numFmtId="0" fontId="0" fillId="0" borderId="44" xfId="0" applyBorder="1" applyAlignment="1">
      <alignment horizontal="left"/>
    </xf>
    <xf numFmtId="0" fontId="0" fillId="0" borderId="3" xfId="0" applyBorder="1" applyAlignment="1">
      <alignment horizontal="left"/>
    </xf>
    <xf numFmtId="0" fontId="0" fillId="0" borderId="9" xfId="0" applyBorder="1" applyAlignment="1">
      <alignment horizontal="left"/>
    </xf>
    <xf numFmtId="0" fontId="0" fillId="0" borderId="0" xfId="0" applyBorder="1" applyAlignment="1">
      <alignment horizontal="left"/>
    </xf>
    <xf numFmtId="0" fontId="0" fillId="0" borderId="38" xfId="0" applyBorder="1" applyAlignment="1">
      <alignment horizontal="left"/>
    </xf>
    <xf numFmtId="0" fontId="0" fillId="0" borderId="52" xfId="0" applyBorder="1" applyAlignment="1">
      <alignment horizontal="left"/>
    </xf>
    <xf numFmtId="0" fontId="5" fillId="18" borderId="33" xfId="0" applyFont="1" applyFill="1" applyBorder="1" applyAlignment="1">
      <alignment horizontal="left"/>
    </xf>
    <xf numFmtId="0" fontId="5" fillId="18" borderId="2" xfId="0" applyFont="1" applyFill="1" applyBorder="1" applyAlignment="1">
      <alignment horizontal="left"/>
    </xf>
    <xf numFmtId="0" fontId="5" fillId="18" borderId="24" xfId="0" applyFont="1" applyFill="1" applyBorder="1" applyAlignment="1">
      <alignment horizontal="left"/>
    </xf>
    <xf numFmtId="0" fontId="22" fillId="15" borderId="3" xfId="0" applyFont="1" applyFill="1" applyBorder="1" applyAlignment="1">
      <alignment horizontal="right"/>
    </xf>
    <xf numFmtId="0" fontId="23" fillId="3" borderId="3" xfId="0" applyFont="1" applyFill="1" applyBorder="1" applyAlignment="1">
      <alignment horizontal="center"/>
    </xf>
    <xf numFmtId="0" fontId="5" fillId="6" borderId="49" xfId="0" applyFont="1" applyFill="1" applyBorder="1" applyAlignment="1">
      <alignment horizontal="center" vertical="center"/>
    </xf>
    <xf numFmtId="0" fontId="5" fillId="6" borderId="50" xfId="0" applyFont="1" applyFill="1" applyBorder="1" applyAlignment="1">
      <alignment horizontal="center" vertical="center"/>
    </xf>
    <xf numFmtId="0" fontId="5" fillId="6" borderId="25" xfId="0" applyFont="1" applyFill="1" applyBorder="1" applyAlignment="1">
      <alignment horizontal="center" vertical="center"/>
    </xf>
    <xf numFmtId="0" fontId="5" fillId="8" borderId="3" xfId="0" applyFont="1" applyFill="1" applyBorder="1" applyAlignment="1">
      <alignment horizontal="center"/>
    </xf>
    <xf numFmtId="0" fontId="5" fillId="0" borderId="27" xfId="0" applyFont="1" applyBorder="1" applyAlignment="1">
      <alignment horizontal="center"/>
    </xf>
    <xf numFmtId="0" fontId="5" fillId="0" borderId="30" xfId="0" applyFont="1" applyBorder="1" applyAlignment="1">
      <alignment horizontal="center"/>
    </xf>
    <xf numFmtId="0" fontId="5" fillId="0" borderId="26" xfId="0" applyFont="1" applyBorder="1" applyAlignment="1">
      <alignment horizontal="center"/>
    </xf>
    <xf numFmtId="0" fontId="5" fillId="8" borderId="0" xfId="0" applyFont="1" applyFill="1" applyAlignment="1">
      <alignment horizontal="left"/>
    </xf>
    <xf numFmtId="0" fontId="0" fillId="0" borderId="35" xfId="0" applyBorder="1" applyAlignment="1">
      <alignment horizontal="left"/>
    </xf>
    <xf numFmtId="0" fontId="0" fillId="0" borderId="51" xfId="0" applyBorder="1" applyAlignment="1">
      <alignment horizontal="left"/>
    </xf>
    <xf numFmtId="0" fontId="0" fillId="0" borderId="45" xfId="0" applyBorder="1" applyAlignment="1">
      <alignment horizontal="left"/>
    </xf>
    <xf numFmtId="0" fontId="0" fillId="0" borderId="39" xfId="0" applyBorder="1" applyAlignment="1">
      <alignment horizontal="left"/>
    </xf>
    <xf numFmtId="0" fontId="5" fillId="6" borderId="7" xfId="0" applyFont="1" applyFill="1" applyBorder="1" applyAlignment="1">
      <alignment horizontal="left"/>
    </xf>
    <xf numFmtId="0" fontId="5" fillId="6" borderId="8" xfId="0" applyFont="1" applyFill="1" applyBorder="1" applyAlignment="1">
      <alignment horizontal="left"/>
    </xf>
    <xf numFmtId="0" fontId="5" fillId="14" borderId="3" xfId="0" applyFont="1" applyFill="1" applyBorder="1" applyAlignment="1">
      <alignment horizontal="center" vertical="top" wrapText="1"/>
    </xf>
    <xf numFmtId="0" fontId="5" fillId="14" borderId="3" xfId="0" applyFont="1" applyFill="1" applyBorder="1" applyAlignment="1">
      <alignment horizontal="right"/>
    </xf>
    <xf numFmtId="0" fontId="5" fillId="0" borderId="3" xfId="0" applyFont="1" applyBorder="1" applyAlignment="1">
      <alignment horizontal="left"/>
    </xf>
    <xf numFmtId="0" fontId="5" fillId="0" borderId="45" xfId="0" applyFont="1" applyBorder="1" applyAlignment="1">
      <alignment horizontal="left"/>
    </xf>
    <xf numFmtId="0" fontId="5" fillId="6" borderId="3" xfId="0" applyFont="1" applyFill="1" applyBorder="1" applyAlignment="1">
      <alignment horizontal="left"/>
    </xf>
    <xf numFmtId="0" fontId="5" fillId="8" borderId="7" xfId="0" applyFont="1" applyFill="1" applyBorder="1" applyAlignment="1">
      <alignment horizontal="left"/>
    </xf>
    <xf numFmtId="0" fontId="0" fillId="0" borderId="33" xfId="0" applyBorder="1" applyAlignment="1">
      <alignment horizontal="left"/>
    </xf>
    <xf numFmtId="0" fontId="0" fillId="0" borderId="2" xfId="0" applyBorder="1" applyAlignment="1">
      <alignment horizontal="left"/>
    </xf>
    <xf numFmtId="0" fontId="0" fillId="0" borderId="24" xfId="0" applyBorder="1" applyAlignment="1">
      <alignment horizontal="left"/>
    </xf>
  </cellXfs>
  <cellStyles count="68">
    <cellStyle name="20% - Accent1 2" xfId="15"/>
    <cellStyle name="20% - Accent2 2" xfId="16"/>
    <cellStyle name="20% - Accent3 2" xfId="14"/>
    <cellStyle name="20% - Accent4 2" xfId="17"/>
    <cellStyle name="20% - Accent5 2" xfId="18"/>
    <cellStyle name="20% - Accent6 2" xfId="19"/>
    <cellStyle name="40% - Accent1 2" xfId="20"/>
    <cellStyle name="40% - Accent2 2" xfId="21"/>
    <cellStyle name="40% - Accent3 2" xfId="22"/>
    <cellStyle name="40% - Accent4 2" xfId="23"/>
    <cellStyle name="40% - Accent5 2" xfId="24"/>
    <cellStyle name="40% - Accent6 2" xfId="25"/>
    <cellStyle name="60% - Accent1 2" xfId="26"/>
    <cellStyle name="60% - Accent2 2" xfId="27"/>
    <cellStyle name="60% - Accent3 2" xfId="28"/>
    <cellStyle name="60% - Accent4 2" xfId="29"/>
    <cellStyle name="60% - Accent5 2" xfId="30"/>
    <cellStyle name="60% - Accent6 2" xfId="31"/>
    <cellStyle name="Accent1 2" xfId="32"/>
    <cellStyle name="Accent2 2" xfId="33"/>
    <cellStyle name="Accent3 2" xfId="34"/>
    <cellStyle name="Accent4 2" xfId="35"/>
    <cellStyle name="Accent5 2" xfId="36"/>
    <cellStyle name="Accent6 2" xfId="37"/>
    <cellStyle name="Assumptions Heading" xfId="4"/>
    <cellStyle name="Assumptions Right Number" xfId="6"/>
    <cellStyle name="Bad 2" xfId="38"/>
    <cellStyle name="Calculation 2" xfId="39"/>
    <cellStyle name="Cell Link" xfId="3"/>
    <cellStyle name="Check Cell 2" xfId="40"/>
    <cellStyle name="Comma" xfId="1" builtinId="3"/>
    <cellStyle name="Comma 2" xfId="9"/>
    <cellStyle name="Comma 3" xfId="13"/>
    <cellStyle name="Comma 4" xfId="41"/>
    <cellStyle name="Comma 4 2" xfId="66"/>
    <cellStyle name="Comma 5" xfId="42"/>
    <cellStyle name="Currency" xfId="8" builtinId="4"/>
    <cellStyle name="Currency 2" xfId="43"/>
    <cellStyle name="Currency 3" xfId="44"/>
    <cellStyle name="Explanatory Text 2" xfId="45"/>
    <cellStyle name="Good 2" xfId="46"/>
    <cellStyle name="Heading 1 2" xfId="47"/>
    <cellStyle name="Heading 2 2" xfId="48"/>
    <cellStyle name="Heading 3 2" xfId="49"/>
    <cellStyle name="Heading 4 2" xfId="50"/>
    <cellStyle name="Hyperlink Text" xfId="2"/>
    <cellStyle name="Input 2" xfId="51"/>
    <cellStyle name="Linked Cell 2" xfId="52"/>
    <cellStyle name="Neutral 2" xfId="53"/>
    <cellStyle name="Normal" xfId="0" builtinId="0"/>
    <cellStyle name="Normal 2" xfId="54"/>
    <cellStyle name="Normal 2 2" xfId="5"/>
    <cellStyle name="Normal 3" xfId="55"/>
    <cellStyle name="Normal 3 2" xfId="56"/>
    <cellStyle name="Normal 3 3" xfId="57"/>
    <cellStyle name="Normal 4" xfId="11"/>
    <cellStyle name="Normal 4 2" xfId="12"/>
    <cellStyle name="Normal 5" xfId="58"/>
    <cellStyle name="Normal 5 2" xfId="59"/>
    <cellStyle name="Normal 6" xfId="60"/>
    <cellStyle name="Note 2" xfId="61"/>
    <cellStyle name="Output 2" xfId="62"/>
    <cellStyle name="Percent" xfId="10" builtinId="5"/>
    <cellStyle name="Percent 2" xfId="67"/>
    <cellStyle name="PSSpacer" xfId="7"/>
    <cellStyle name="Title 2" xfId="63"/>
    <cellStyle name="Total 2" xfId="64"/>
    <cellStyle name="Warning Text 2" xfI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5374005</xdr:colOff>
      <xdr:row>6</xdr:row>
      <xdr:rowOff>38100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6665" cy="11353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ice%20Review\2016-20%20EDPR\TEAM%20WORKING%20FOLDERS\METERING\Copy%20of%20SPN%20AMI%20financial%20model%20(20140908%20v3%20-%20sent%20to%20Corporate%20Finance%20BOARD%20PAPER%20VERSION)-%20IT%20&amp;%20comms%20opex%20Real$14%20-%202603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ice%20Review\2016-20%20EDPR\TEAM%20WORKING%20FOLDERS\METERING\Copy%20of%20SPN%20AMI%20financial%20model%20(20140908%20v3%20-%20sent%20to%20Corporate%20Finance%20BOARD%20PAPER%20VERSION)-%20IT%20&amp;%20comms%20opex%20Real$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lchhuor\Local%20Settings\Temporary%20Internet%20Files\Content.Outlook\UTJUG3P3\PARPT04AMI%20-%20AMI%20PROJECTS%20-%20Transaction%20Listing%20Report_NO%20SAP%20YT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ai\AppData\Local\Microsoft\Windows\Temporary%20Internet%20Files\Content.Outlook\ZQPHOC28\Metering%20cost%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C"/>
      <sheetName val="Contents"/>
      <sheetName val="Inputs_SC"/>
      <sheetName val="General_assump_BA"/>
      <sheetName val="CFCs_OHDs_Fcast"/>
      <sheetName val="OracleActuals_TM1Data"/>
      <sheetName val="OracleActuals_RawData"/>
      <sheetName val="Master_Program"/>
      <sheetName val="Master_BAU"/>
      <sheetName val="BAU_Assumptions"/>
      <sheetName val="BAU_Forecast_Summary (Annual)"/>
      <sheetName val="BusCase_Sep14"/>
      <sheetName val="BusCase_Options"/>
      <sheetName val="Output_SC"/>
      <sheetName val="Resource_forecast_mnthly"/>
      <sheetName val="Program_Seating_forecast_Pivot1"/>
      <sheetName val="Program_Seating_forecast_Pivot2"/>
      <sheetName val="BAU_Headcount_forecast_Pivot1"/>
      <sheetName val="ApprovalReports_Brd1_SSC"/>
      <sheetName val="ApprovalBrd_Apr_to_May14"/>
      <sheetName val="ApprovalReports_Streams1_SSC"/>
      <sheetName val="ApprovalStr_Jun_to_Sep14_v1"/>
      <sheetName val="ApprovalStr_Jun_to_Sep14_Pivot1"/>
      <sheetName val="ApprovalStr_Jun_to_Sep14_Pivot2"/>
      <sheetName val="ApprovalReports_Brd2_SSC"/>
      <sheetName val="ApprovalBrd_Jun_to_Sep14_v1"/>
      <sheetName val="ApprovalBrd_Jun_to_Sep14_v2"/>
      <sheetName val="ApprovalBrd_Jun_to_Sep14_Comp"/>
      <sheetName val="ApprovalBrd_Jun_to_Sep14_Pivot1"/>
      <sheetName val="ApprovalBrd_Jun_to_Sep14_Pivot2"/>
      <sheetName val="ApprovalBrd_Jun_to_Sep14_Pivot3"/>
      <sheetName val="Resource_forecast_wkly"/>
      <sheetName val="Reports_FcastOct14_SSC"/>
      <sheetName val="FcastOct14_Program_Pivot1"/>
      <sheetName val="FcastOct14_Program_Pivot2"/>
      <sheetName val="Sheet2"/>
      <sheetName val="FcastOct14_BAU_Pivot1"/>
      <sheetName val="Financial_Fcasts_SSC"/>
      <sheetName val="FY15_Opex_Analysis"/>
      <sheetName val="BusCaseFormat_Summary_CY"/>
      <sheetName val="Sheet1"/>
      <sheetName val="BusCaseFormat_FY"/>
      <sheetName val="BusCaseFormat_CY"/>
      <sheetName val="BusCaseFormat_Summary_FY"/>
      <sheetName val="BusCaseFormat_Mnthly"/>
      <sheetName val="Stream_Fcasts_SSC"/>
      <sheetName val="StreamFcast2"/>
      <sheetName val="StreamFcast3"/>
      <sheetName val="StreamFcast4"/>
      <sheetName val="StreamFcast1"/>
      <sheetName val="StreamFcast5"/>
      <sheetName val="Misc_Fcasts_SSC"/>
      <sheetName val="Uncommitted_Analysis"/>
      <sheetName val="Charts_SSC"/>
      <sheetName val="Chart_data"/>
      <sheetName val="Charts"/>
      <sheetName val="Appendices_SC"/>
      <sheetName val="Chks_SSC"/>
      <sheetName val="Err_Chks_BO"/>
      <sheetName val="Lookup_SSC"/>
      <sheetName val="CostCentreMapping"/>
      <sheetName val="CostCodeMapping"/>
      <sheetName val="IT_ProjectList"/>
      <sheetName val="Dates_BL"/>
      <sheetName val="OfficeLocations_BL"/>
      <sheetName val="Projects_BL"/>
      <sheetName val="CostTypes_BL"/>
      <sheetName val="Public_hols_BL"/>
      <sheetName val="Annual_leave_BL"/>
      <sheetName val="GL"/>
    </sheetNames>
    <sheetDataSet>
      <sheetData sheetId="0" refreshError="1"/>
      <sheetData sheetId="1" refreshError="1"/>
      <sheetData sheetId="2" refreshError="1"/>
      <sheetData sheetId="3" refreshError="1">
        <row r="10">
          <cell r="E10">
            <v>4</v>
          </cell>
        </row>
        <row r="38">
          <cell r="D38" t="b">
            <v>1</v>
          </cell>
        </row>
      </sheetData>
      <sheetData sheetId="4" refreshError="1"/>
      <sheetData sheetId="5" refreshError="1"/>
      <sheetData sheetId="6" refreshError="1"/>
      <sheetData sheetId="7" refreshError="1"/>
      <sheetData sheetId="8">
        <row r="20">
          <cell r="AEU20">
            <v>1452497</v>
          </cell>
        </row>
      </sheetData>
      <sheetData sheetId="9" refreshError="1"/>
      <sheetData sheetId="10" refreshError="1"/>
      <sheetData sheetId="11">
        <row r="14">
          <cell r="R14">
            <v>219418.69999999998</v>
          </cell>
        </row>
      </sheetData>
      <sheetData sheetId="12" refreshError="1">
        <row r="7">
          <cell r="C7" t="str">
            <v>Option 1 (Base)</v>
          </cell>
        </row>
        <row r="8">
          <cell r="C8" t="str">
            <v>Option 2</v>
          </cell>
        </row>
        <row r="9">
          <cell r="C9" t="str">
            <v>Option 3</v>
          </cell>
        </row>
        <row r="10">
          <cell r="C10" t="str">
            <v>Option 3.5</v>
          </cell>
        </row>
        <row r="11">
          <cell r="C11" t="str">
            <v>Option 4</v>
          </cell>
        </row>
        <row r="12">
          <cell r="C12" t="str">
            <v>Option 5</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row r="37">
          <cell r="M37">
            <v>1</v>
          </cell>
        </row>
      </sheetData>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C"/>
      <sheetName val="Contents"/>
      <sheetName val="Inputs_SC"/>
      <sheetName val="General_assump_BA"/>
      <sheetName val="CFCs_OHDs_Fcast"/>
      <sheetName val="OracleActuals_TM1Data"/>
      <sheetName val="OracleActuals_RawData"/>
      <sheetName val="Master_Program"/>
      <sheetName val="Master_BAU"/>
      <sheetName val="BAU_Assumptions"/>
      <sheetName val="BAU_Forecast_Summary (Annual)"/>
      <sheetName val="BusCase_Sep14"/>
      <sheetName val="BusCase_Options"/>
      <sheetName val="Output_SC"/>
      <sheetName val="Resource_forecast_mnthly"/>
      <sheetName val="Program_Seating_forecast_Pivot1"/>
      <sheetName val="Program_Seating_forecast_Pivot2"/>
      <sheetName val="BAU_Headcount_forecast_Pivot1"/>
      <sheetName val="ApprovalReports_Brd1_SSC"/>
      <sheetName val="ApprovalBrd_Apr_to_May14"/>
      <sheetName val="ApprovalReports_Streams1_SSC"/>
      <sheetName val="ApprovalStr_Jun_to_Sep14_v1"/>
      <sheetName val="ApprovalStr_Jun_to_Sep14_Pivot1"/>
      <sheetName val="ApprovalStr_Jun_to_Sep14_Pivot2"/>
      <sheetName val="ApprovalReports_Brd2_SSC"/>
      <sheetName val="ApprovalBrd_Jun_to_Sep14_v1"/>
      <sheetName val="ApprovalBrd_Jun_to_Sep14_v2"/>
      <sheetName val="ApprovalBrd_Jun_to_Sep14_Comp"/>
      <sheetName val="ApprovalBrd_Jun_to_Sep14_Pivot1"/>
      <sheetName val="ApprovalBrd_Jun_to_Sep14_Pivot2"/>
      <sheetName val="ApprovalBrd_Jun_to_Sep14_Pivot3"/>
      <sheetName val="Resource_forecast_wkly"/>
      <sheetName val="Reports_FcastOct14_SSC"/>
      <sheetName val="FcastOct14_Program_Pivot1"/>
      <sheetName val="FcastOct14_Program_Pivot2"/>
      <sheetName val="Sheet2"/>
      <sheetName val="FcastOct14_BAU_Pivot1"/>
      <sheetName val="Financial_Fcasts_SSC"/>
      <sheetName val="FY15_Opex_Analysis"/>
      <sheetName val="BusCaseFormat_Summary_CY"/>
      <sheetName val="Sheet1"/>
      <sheetName val="BusCaseFormat_FY"/>
      <sheetName val="BusCaseFormat_CY"/>
      <sheetName val="BusCaseFormat_Summary_FY"/>
      <sheetName val="BusCaseFormat_Mnthly"/>
      <sheetName val="Stream_Fcasts_SSC"/>
      <sheetName val="StreamFcast2"/>
      <sheetName val="StreamFcast3"/>
      <sheetName val="StreamFcast4"/>
      <sheetName val="StreamFcast1"/>
      <sheetName val="StreamFcast5"/>
      <sheetName val="Misc_Fcasts_SSC"/>
      <sheetName val="Uncommitted_Analysis"/>
      <sheetName val="Charts_SSC"/>
      <sheetName val="Chart_data"/>
      <sheetName val="Charts"/>
      <sheetName val="Appendices_SC"/>
      <sheetName val="Chks_SSC"/>
      <sheetName val="Err_Chks_BO"/>
      <sheetName val="Lookup_SSC"/>
      <sheetName val="CostCentreMapping"/>
      <sheetName val="CostCodeMapping"/>
      <sheetName val="IT_ProjectList"/>
      <sheetName val="Dates_BL"/>
      <sheetName val="OfficeLocations_BL"/>
      <sheetName val="Projects_BL"/>
      <sheetName val="CostTypes_BL"/>
      <sheetName val="Public_hols_BL"/>
      <sheetName val="Annual_leave_BL"/>
      <sheetName val="GL"/>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D6" t="str">
            <v>Option 1 only</v>
          </cell>
          <cell r="E6" t="str">
            <v>Option 2 only</v>
          </cell>
          <cell r="F6" t="str">
            <v>Option 3 only</v>
          </cell>
          <cell r="G6" t="str">
            <v>Option 3.5 only</v>
          </cell>
          <cell r="H6" t="str">
            <v>Option 4 only</v>
          </cell>
          <cell r="I6" t="str">
            <v>Option 5 only</v>
          </cell>
          <cell r="J6" t="str">
            <v>Options 1 &amp; 2</v>
          </cell>
          <cell r="K6" t="str">
            <v>Options 1 &amp; 3</v>
          </cell>
          <cell r="L6" t="str">
            <v>Options 1, 3 &amp; 3.5</v>
          </cell>
          <cell r="M6" t="str">
            <v>Options 3 &amp; 3.5</v>
          </cell>
          <cell r="N6" t="str">
            <v>Options 3, 3.5 &amp; 4</v>
          </cell>
          <cell r="O6" t="str">
            <v>Options 3.5 &amp; 4</v>
          </cell>
          <cell r="P6" t="str">
            <v>[Spare]</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sheetName val="Macro1"/>
      <sheetName val="Sheet5"/>
      <sheetName val="Sheet4"/>
      <sheetName val="Detail (2)"/>
    </sheetNames>
    <sheetDataSet>
      <sheetData sheetId="0"/>
      <sheetData sheetId="1">
        <row r="76">
          <cell r="A76" t="str">
            <v>Recover</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Summary"/>
      <sheetName val="Calc"/>
      <sheetName val="Vol special meter read"/>
      <sheetName val="LG Invoices list"/>
      <sheetName val="Meter replacement volume"/>
      <sheetName val="New connections"/>
      <sheetName val="IT &amp; Comms opex"/>
      <sheetName val="Meter data management"/>
      <sheetName val="Meter Reading"/>
      <sheetName val="SUMMARY MR"/>
      <sheetName val="Actuals + Forecasts"/>
      <sheetName val="Resources"/>
      <sheetName val="MCFO Work"/>
      <sheetName val="Meter Asset Management"/>
    </sheetNames>
    <sheetDataSet>
      <sheetData sheetId="0"/>
      <sheetData sheetId="1"/>
      <sheetData sheetId="2"/>
      <sheetData sheetId="3"/>
      <sheetData sheetId="4"/>
      <sheetData sheetId="5"/>
      <sheetData sheetId="6"/>
      <sheetData sheetId="7"/>
      <sheetData sheetId="8"/>
      <sheetData sheetId="9"/>
      <sheetData sheetId="10"/>
      <sheetData sheetId="11">
        <row r="11">
          <cell r="O11">
            <v>48.584785759750325</v>
          </cell>
        </row>
        <row r="16">
          <cell r="O16">
            <v>31.298182464034099</v>
          </cell>
        </row>
      </sheetData>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C29"/>
  <sheetViews>
    <sheetView topLeftCell="A10" workbookViewId="0">
      <selection activeCell="C20" sqref="C20"/>
    </sheetView>
  </sheetViews>
  <sheetFormatPr defaultRowHeight="15" x14ac:dyDescent="0.25"/>
  <cols>
    <col min="2" max="2" width="23.7109375" customWidth="1"/>
    <col min="3" max="3" width="106.42578125" customWidth="1"/>
  </cols>
  <sheetData>
    <row r="8" spans="2:3" s="312" customFormat="1" ht="13.9" x14ac:dyDescent="0.3"/>
    <row r="9" spans="2:3" s="312" customFormat="1" ht="20.65" customHeight="1" x14ac:dyDescent="0.3">
      <c r="B9" s="449" t="s">
        <v>239</v>
      </c>
      <c r="C9" s="450"/>
    </row>
    <row r="10" spans="2:3" s="312" customFormat="1" ht="13.15" customHeight="1" x14ac:dyDescent="0.2">
      <c r="B10" s="451" t="s">
        <v>243</v>
      </c>
      <c r="C10" s="452"/>
    </row>
    <row r="11" spans="2:3" s="312" customFormat="1" ht="22.9" customHeight="1" x14ac:dyDescent="0.2">
      <c r="B11" s="453"/>
      <c r="C11" s="454"/>
    </row>
    <row r="12" spans="2:3" s="312" customFormat="1" ht="22.9" customHeight="1" x14ac:dyDescent="0.2">
      <c r="B12" s="455"/>
      <c r="C12" s="456"/>
    </row>
    <row r="13" spans="2:3" s="312" customFormat="1" ht="22.9" customHeight="1" x14ac:dyDescent="0.3"/>
    <row r="14" spans="2:3" s="312" customFormat="1" ht="22.9" customHeight="1" x14ac:dyDescent="0.3">
      <c r="B14" s="449" t="s">
        <v>240</v>
      </c>
      <c r="C14" s="450"/>
    </row>
    <row r="15" spans="2:3" s="312" customFormat="1" ht="22.9" customHeight="1" x14ac:dyDescent="0.3">
      <c r="B15" s="313" t="s">
        <v>241</v>
      </c>
      <c r="C15" s="314" t="s">
        <v>242</v>
      </c>
    </row>
    <row r="16" spans="2:3" s="312" customFormat="1" ht="25.15" customHeight="1" x14ac:dyDescent="0.3">
      <c r="B16" s="315" t="s">
        <v>244</v>
      </c>
      <c r="C16" s="316" t="s">
        <v>245</v>
      </c>
    </row>
    <row r="17" spans="2:3" s="312" customFormat="1" ht="25.15" customHeight="1" x14ac:dyDescent="0.3">
      <c r="B17" s="317" t="s">
        <v>246</v>
      </c>
      <c r="C17" s="318" t="s">
        <v>248</v>
      </c>
    </row>
    <row r="18" spans="2:3" s="312" customFormat="1" ht="25.15" customHeight="1" x14ac:dyDescent="0.3">
      <c r="B18" s="317" t="s">
        <v>247</v>
      </c>
      <c r="C18" s="318" t="s">
        <v>260</v>
      </c>
    </row>
    <row r="19" spans="2:3" s="312" customFormat="1" ht="25.15" customHeight="1" x14ac:dyDescent="0.3">
      <c r="B19" s="317" t="s">
        <v>249</v>
      </c>
      <c r="C19" s="318" t="s">
        <v>250</v>
      </c>
    </row>
    <row r="20" spans="2:3" s="312" customFormat="1" ht="25.15" customHeight="1" x14ac:dyDescent="0.3">
      <c r="B20" s="317" t="s">
        <v>251</v>
      </c>
      <c r="C20" s="318" t="s">
        <v>259</v>
      </c>
    </row>
    <row r="21" spans="2:3" s="312" customFormat="1" ht="25.15" customHeight="1" x14ac:dyDescent="0.3">
      <c r="B21" s="319" t="s">
        <v>252</v>
      </c>
      <c r="C21" s="318" t="s">
        <v>261</v>
      </c>
    </row>
    <row r="22" spans="2:3" s="312" customFormat="1" ht="25.15" customHeight="1" x14ac:dyDescent="0.3">
      <c r="B22" s="319" t="s">
        <v>253</v>
      </c>
      <c r="C22" s="318" t="s">
        <v>262</v>
      </c>
    </row>
    <row r="23" spans="2:3" s="312" customFormat="1" ht="25.15" customHeight="1" x14ac:dyDescent="0.3">
      <c r="B23" s="319" t="s">
        <v>194</v>
      </c>
      <c r="C23" s="318" t="s">
        <v>263</v>
      </c>
    </row>
    <row r="24" spans="2:3" s="312" customFormat="1" ht="25.15" customHeight="1" x14ac:dyDescent="0.3">
      <c r="B24" s="319" t="s">
        <v>2</v>
      </c>
      <c r="C24" s="318" t="s">
        <v>264</v>
      </c>
    </row>
    <row r="25" spans="2:3" s="312" customFormat="1" ht="25.15" customHeight="1" x14ac:dyDescent="0.3">
      <c r="B25" s="319" t="s">
        <v>254</v>
      </c>
      <c r="C25" s="318" t="s">
        <v>265</v>
      </c>
    </row>
    <row r="26" spans="2:3" s="312" customFormat="1" ht="25.15" customHeight="1" x14ac:dyDescent="0.3">
      <c r="B26" s="319" t="s">
        <v>255</v>
      </c>
      <c r="C26" s="318" t="s">
        <v>268</v>
      </c>
    </row>
    <row r="27" spans="2:3" s="312" customFormat="1" ht="25.15" customHeight="1" x14ac:dyDescent="0.2">
      <c r="B27" s="319" t="s">
        <v>256</v>
      </c>
      <c r="C27" s="318" t="s">
        <v>266</v>
      </c>
    </row>
    <row r="28" spans="2:3" s="312" customFormat="1" ht="25.15" customHeight="1" x14ac:dyDescent="0.2">
      <c r="B28" s="319" t="s">
        <v>257</v>
      </c>
      <c r="C28" s="318" t="s">
        <v>267</v>
      </c>
    </row>
    <row r="29" spans="2:3" s="312" customFormat="1" ht="25.15" customHeight="1" x14ac:dyDescent="0.2">
      <c r="B29" s="320" t="s">
        <v>258</v>
      </c>
      <c r="C29" s="321" t="s">
        <v>269</v>
      </c>
    </row>
  </sheetData>
  <mergeCells count="3">
    <mergeCell ref="B9:C9"/>
    <mergeCell ref="B10:C12"/>
    <mergeCell ref="B14:C1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showGridLines="0" workbookViewId="0">
      <selection activeCell="A25" sqref="A25:J25"/>
    </sheetView>
  </sheetViews>
  <sheetFormatPr defaultRowHeight="15" x14ac:dyDescent="0.25"/>
  <cols>
    <col min="1" max="1" width="32" customWidth="1"/>
    <col min="2" max="2" width="13.42578125" style="150" customWidth="1"/>
    <col min="3" max="3" width="11.85546875" style="150" bestFit="1" customWidth="1"/>
    <col min="4" max="4" width="12.5703125" style="150" bestFit="1" customWidth="1"/>
    <col min="5" max="5" width="12.28515625" style="150" bestFit="1" customWidth="1"/>
    <col min="6" max="8" width="11.85546875" style="150" bestFit="1" customWidth="1"/>
  </cols>
  <sheetData>
    <row r="1" spans="1:10" thickBot="1" x14ac:dyDescent="0.35"/>
    <row r="2" spans="1:10" s="3" customFormat="1" thickBot="1" x14ac:dyDescent="0.35">
      <c r="B2" s="131">
        <v>2015</v>
      </c>
      <c r="C2" s="131">
        <v>2016</v>
      </c>
      <c r="D2" s="468">
        <v>2017</v>
      </c>
      <c r="E2" s="469"/>
      <c r="F2" s="132">
        <v>2018</v>
      </c>
      <c r="G2" s="132">
        <v>2019</v>
      </c>
      <c r="H2" s="132">
        <v>2020</v>
      </c>
    </row>
    <row r="3" spans="1:10" thickBot="1" x14ac:dyDescent="0.35">
      <c r="A3" s="135" t="s">
        <v>31</v>
      </c>
      <c r="B3" s="136" t="s">
        <v>32</v>
      </c>
      <c r="C3" s="136" t="s">
        <v>32</v>
      </c>
      <c r="D3" s="137" t="s">
        <v>33</v>
      </c>
      <c r="E3" s="138" t="s">
        <v>34</v>
      </c>
      <c r="F3" s="136" t="s">
        <v>32</v>
      </c>
      <c r="G3" s="136" t="s">
        <v>32</v>
      </c>
      <c r="H3" s="136" t="s">
        <v>32</v>
      </c>
    </row>
    <row r="4" spans="1:10" ht="14.45" x14ac:dyDescent="0.3">
      <c r="A4" s="141" t="s">
        <v>35</v>
      </c>
      <c r="B4" s="323"/>
      <c r="C4" s="323"/>
      <c r="D4" s="324"/>
      <c r="E4" s="325"/>
      <c r="F4" s="323"/>
      <c r="G4" s="323"/>
      <c r="H4" s="323"/>
    </row>
    <row r="5" spans="1:10" ht="14.45" x14ac:dyDescent="0.3">
      <c r="A5" s="141" t="s">
        <v>77</v>
      </c>
      <c r="B5" s="326"/>
      <c r="C5" s="326"/>
      <c r="D5" s="327"/>
      <c r="E5" s="328"/>
      <c r="F5" s="329"/>
      <c r="G5" s="329"/>
      <c r="H5" s="329"/>
    </row>
    <row r="6" spans="1:10" ht="14.45" x14ac:dyDescent="0.3">
      <c r="A6" s="141" t="s">
        <v>78</v>
      </c>
      <c r="B6" s="326"/>
      <c r="C6" s="326"/>
      <c r="D6" s="330"/>
      <c r="E6" s="328"/>
      <c r="F6" s="329"/>
      <c r="G6" s="329"/>
      <c r="H6" s="329"/>
    </row>
    <row r="7" spans="1:10" ht="14.45" x14ac:dyDescent="0.3">
      <c r="A7" s="141" t="s">
        <v>36</v>
      </c>
      <c r="B7" s="326"/>
      <c r="C7" s="326"/>
      <c r="D7" s="330"/>
      <c r="E7" s="328"/>
      <c r="F7" s="329"/>
      <c r="G7" s="329"/>
      <c r="H7" s="329"/>
    </row>
    <row r="8" spans="1:10" ht="14.45" x14ac:dyDescent="0.3">
      <c r="A8" s="141" t="s">
        <v>37</v>
      </c>
      <c r="B8" s="329"/>
      <c r="C8" s="326"/>
      <c r="D8" s="327"/>
      <c r="E8" s="331"/>
      <c r="F8" s="326"/>
      <c r="G8" s="326"/>
      <c r="H8" s="326"/>
    </row>
    <row r="9" spans="1:10" ht="14.45" x14ac:dyDescent="0.3">
      <c r="A9" s="145" t="s">
        <v>79</v>
      </c>
      <c r="B9" s="332"/>
      <c r="C9" s="333"/>
      <c r="D9" s="334"/>
      <c r="E9" s="335"/>
      <c r="F9" s="333"/>
      <c r="G9" s="333"/>
      <c r="H9" s="333"/>
    </row>
    <row r="10" spans="1:10" ht="14.45" x14ac:dyDescent="0.3">
      <c r="A10" s="145" t="s">
        <v>80</v>
      </c>
      <c r="B10" s="332"/>
      <c r="C10" s="332"/>
      <c r="D10" s="336"/>
      <c r="E10" s="335"/>
      <c r="F10" s="333"/>
      <c r="G10" s="333"/>
      <c r="H10" s="333"/>
    </row>
    <row r="11" spans="1:10" s="3" customFormat="1" thickBot="1" x14ac:dyDescent="0.35">
      <c r="A11" s="146" t="s">
        <v>1</v>
      </c>
      <c r="B11" s="147">
        <v>102.1</v>
      </c>
      <c r="C11" s="147">
        <v>93.18</v>
      </c>
      <c r="D11" s="147">
        <v>45.783191837862383</v>
      </c>
      <c r="E11" s="147">
        <v>25.893737098652146</v>
      </c>
      <c r="F11" s="147">
        <v>22.538693979042097</v>
      </c>
      <c r="G11" s="147">
        <v>22.561487182523241</v>
      </c>
      <c r="H11" s="147">
        <v>22.584280386004387</v>
      </c>
    </row>
    <row r="13" spans="1:10" ht="14.45" x14ac:dyDescent="0.3">
      <c r="A13" s="151" t="s">
        <v>38</v>
      </c>
      <c r="B13" s="152"/>
      <c r="C13" s="152"/>
      <c r="D13" s="152"/>
      <c r="E13" s="152"/>
      <c r="F13" s="152"/>
      <c r="G13" s="152"/>
      <c r="H13" s="152"/>
      <c r="I13" s="153"/>
      <c r="J13" s="154"/>
    </row>
    <row r="14" spans="1:10" ht="14.45" x14ac:dyDescent="0.3">
      <c r="A14" s="478">
        <v>2015</v>
      </c>
      <c r="B14" s="479"/>
      <c r="C14" s="479"/>
      <c r="D14" s="479"/>
      <c r="E14" s="479"/>
      <c r="F14" s="479"/>
      <c r="G14" s="479"/>
      <c r="H14" s="479"/>
      <c r="I14" s="479"/>
      <c r="J14" s="480"/>
    </row>
    <row r="15" spans="1:10" ht="38.25" customHeight="1" x14ac:dyDescent="0.3">
      <c r="A15" s="481" t="s">
        <v>167</v>
      </c>
      <c r="B15" s="482"/>
      <c r="C15" s="482"/>
      <c r="D15" s="482"/>
      <c r="E15" s="482"/>
      <c r="F15" s="482"/>
      <c r="G15" s="482"/>
      <c r="H15" s="482"/>
      <c r="I15" s="482"/>
      <c r="J15" s="483"/>
    </row>
    <row r="16" spans="1:10" ht="14.45" x14ac:dyDescent="0.3">
      <c r="A16" s="155">
        <v>2016</v>
      </c>
      <c r="B16" s="156"/>
      <c r="C16" s="156"/>
      <c r="D16" s="156"/>
      <c r="E16" s="156"/>
      <c r="F16" s="156"/>
      <c r="G16" s="156"/>
      <c r="H16" s="156"/>
      <c r="I16" s="157"/>
      <c r="J16" s="158"/>
    </row>
    <row r="17" spans="1:10" ht="33" customHeight="1" x14ac:dyDescent="0.3">
      <c r="A17" s="481" t="s">
        <v>81</v>
      </c>
      <c r="B17" s="482"/>
      <c r="C17" s="482"/>
      <c r="D17" s="482"/>
      <c r="E17" s="482"/>
      <c r="F17" s="482"/>
      <c r="G17" s="482"/>
      <c r="H17" s="482"/>
      <c r="I17" s="482"/>
      <c r="J17" s="483"/>
    </row>
    <row r="18" spans="1:10" ht="14.45" x14ac:dyDescent="0.3">
      <c r="A18" s="155" t="s">
        <v>82</v>
      </c>
      <c r="B18" s="156"/>
      <c r="C18" s="156"/>
      <c r="D18" s="156"/>
      <c r="E18" s="156"/>
      <c r="F18" s="156"/>
      <c r="G18" s="156"/>
      <c r="H18" s="156"/>
      <c r="I18" s="157"/>
      <c r="J18" s="158"/>
    </row>
    <row r="19" spans="1:10" ht="14.45" x14ac:dyDescent="0.3">
      <c r="A19" s="472" t="s">
        <v>39</v>
      </c>
      <c r="B19" s="473"/>
      <c r="C19" s="473"/>
      <c r="D19" s="473"/>
      <c r="E19" s="473"/>
      <c r="F19" s="473"/>
      <c r="G19" s="473"/>
      <c r="H19" s="473"/>
      <c r="I19" s="473"/>
      <c r="J19" s="474"/>
    </row>
    <row r="20" spans="1:10" ht="14.45" x14ac:dyDescent="0.3">
      <c r="A20" s="472" t="s">
        <v>40</v>
      </c>
      <c r="B20" s="473"/>
      <c r="C20" s="473"/>
      <c r="D20" s="473"/>
      <c r="E20" s="473"/>
      <c r="F20" s="473"/>
      <c r="G20" s="473"/>
      <c r="H20" s="473"/>
      <c r="I20" s="473"/>
      <c r="J20" s="474"/>
    </row>
    <row r="21" spans="1:10" ht="14.45" x14ac:dyDescent="0.3">
      <c r="A21" s="472" t="s">
        <v>231</v>
      </c>
      <c r="B21" s="473"/>
      <c r="C21" s="473"/>
      <c r="D21" s="473"/>
      <c r="E21" s="473"/>
      <c r="F21" s="473"/>
      <c r="G21" s="473"/>
      <c r="H21" s="473"/>
      <c r="I21" s="473"/>
      <c r="J21" s="474"/>
    </row>
    <row r="22" spans="1:10" ht="14.45" x14ac:dyDescent="0.3">
      <c r="A22" s="472" t="s">
        <v>83</v>
      </c>
      <c r="B22" s="473"/>
      <c r="C22" s="473"/>
      <c r="D22" s="473"/>
      <c r="E22" s="473"/>
      <c r="F22" s="473"/>
      <c r="G22" s="473"/>
      <c r="H22" s="473"/>
      <c r="I22" s="473"/>
      <c r="J22" s="474"/>
    </row>
    <row r="23" spans="1:10" ht="14.45" x14ac:dyDescent="0.3">
      <c r="A23" s="472" t="s">
        <v>84</v>
      </c>
      <c r="B23" s="473"/>
      <c r="C23" s="473"/>
      <c r="D23" s="473"/>
      <c r="E23" s="473"/>
      <c r="F23" s="473"/>
      <c r="G23" s="473"/>
      <c r="H23" s="473"/>
      <c r="I23" s="473"/>
      <c r="J23" s="474"/>
    </row>
    <row r="24" spans="1:10" ht="30" customHeight="1" x14ac:dyDescent="0.3">
      <c r="A24" s="475" t="s">
        <v>227</v>
      </c>
      <c r="B24" s="476"/>
      <c r="C24" s="476"/>
      <c r="D24" s="476"/>
      <c r="E24" s="476"/>
      <c r="F24" s="476"/>
      <c r="G24" s="476"/>
      <c r="H24" s="476"/>
      <c r="I24" s="476"/>
      <c r="J24" s="477"/>
    </row>
    <row r="25" spans="1:10" ht="31.5" customHeight="1" x14ac:dyDescent="0.25">
      <c r="A25" s="475" t="s">
        <v>228</v>
      </c>
      <c r="B25" s="476"/>
      <c r="C25" s="476"/>
      <c r="D25" s="476"/>
      <c r="E25" s="476"/>
      <c r="F25" s="476"/>
      <c r="G25" s="476"/>
      <c r="H25" s="476"/>
      <c r="I25" s="476"/>
      <c r="J25" s="477"/>
    </row>
    <row r="26" spans="1:10" ht="31.5" customHeight="1" x14ac:dyDescent="0.25">
      <c r="A26" s="475" t="s">
        <v>229</v>
      </c>
      <c r="B26" s="476"/>
      <c r="C26" s="476"/>
      <c r="D26" s="476"/>
      <c r="E26" s="476"/>
      <c r="F26" s="476"/>
      <c r="G26" s="476"/>
      <c r="H26" s="476"/>
      <c r="I26" s="476"/>
      <c r="J26" s="477"/>
    </row>
    <row r="28" spans="1:10" x14ac:dyDescent="0.25">
      <c r="A28" s="471"/>
      <c r="B28" s="471"/>
      <c r="C28" s="471"/>
      <c r="D28" s="471"/>
      <c r="E28" s="471"/>
      <c r="F28" s="471"/>
      <c r="G28" s="471"/>
      <c r="H28" s="471"/>
      <c r="I28" s="471"/>
      <c r="J28" s="471"/>
    </row>
    <row r="29" spans="1:10" x14ac:dyDescent="0.25">
      <c r="A29" s="471"/>
      <c r="B29" s="471"/>
      <c r="C29" s="471"/>
      <c r="D29" s="471"/>
      <c r="E29" s="471"/>
      <c r="F29" s="471"/>
      <c r="G29" s="471"/>
      <c r="H29" s="471"/>
      <c r="I29" s="471"/>
      <c r="J29" s="471"/>
    </row>
    <row r="30" spans="1:10" x14ac:dyDescent="0.25">
      <c r="A30" s="471"/>
      <c r="B30" s="471"/>
      <c r="C30" s="471"/>
      <c r="D30" s="471"/>
      <c r="E30" s="471"/>
      <c r="F30" s="471"/>
      <c r="G30" s="471"/>
      <c r="H30" s="471"/>
      <c r="I30" s="471"/>
      <c r="J30" s="471"/>
    </row>
  </sheetData>
  <mergeCells count="13">
    <mergeCell ref="A20:J20"/>
    <mergeCell ref="D2:E2"/>
    <mergeCell ref="A14:J14"/>
    <mergeCell ref="A15:J15"/>
    <mergeCell ref="A17:J17"/>
    <mergeCell ref="A19:J19"/>
    <mergeCell ref="A28:J30"/>
    <mergeCell ref="A21:J21"/>
    <mergeCell ref="A22:J22"/>
    <mergeCell ref="A23:J23"/>
    <mergeCell ref="A24:J24"/>
    <mergeCell ref="A25:J25"/>
    <mergeCell ref="A26:J26"/>
  </mergeCells>
  <pageMargins left="0.7" right="0.7" top="0.75" bottom="0.75" header="0.3" footer="0.3"/>
  <pageSetup paperSize="9" scale="6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32"/>
  <sheetViews>
    <sheetView showGridLines="0" workbookViewId="0">
      <selection activeCell="C24" sqref="C24"/>
    </sheetView>
  </sheetViews>
  <sheetFormatPr defaultRowHeight="15" x14ac:dyDescent="0.25"/>
  <cols>
    <col min="1" max="1" width="21.5703125" bestFit="1" customWidth="1"/>
    <col min="2" max="2" width="18.140625" customWidth="1"/>
    <col min="3" max="3" width="7.5703125" bestFit="1" customWidth="1"/>
    <col min="4" max="4" width="7.85546875" customWidth="1"/>
  </cols>
  <sheetData>
    <row r="2" spans="1:43" s="4" customFormat="1" ht="14.45" x14ac:dyDescent="0.3">
      <c r="A2" s="493" t="s">
        <v>85</v>
      </c>
      <c r="B2" s="493"/>
      <c r="C2" s="159">
        <v>21</v>
      </c>
      <c r="D2" s="160">
        <v>21</v>
      </c>
      <c r="E2" s="160">
        <v>23</v>
      </c>
      <c r="F2" s="160">
        <v>21</v>
      </c>
      <c r="G2" s="160">
        <v>22</v>
      </c>
      <c r="H2" s="160">
        <v>22</v>
      </c>
      <c r="I2" s="160">
        <v>20</v>
      </c>
      <c r="J2" s="160">
        <v>14</v>
      </c>
      <c r="K2" s="160">
        <v>19</v>
      </c>
      <c r="L2" s="160">
        <v>20</v>
      </c>
      <c r="M2" s="160">
        <v>21</v>
      </c>
      <c r="N2" s="161"/>
    </row>
    <row r="3" spans="1:43" ht="14.45" x14ac:dyDescent="0.3">
      <c r="A3" s="494" t="s">
        <v>86</v>
      </c>
      <c r="B3" s="494"/>
      <c r="C3" s="162">
        <v>41760</v>
      </c>
      <c r="D3" s="162">
        <v>41791</v>
      </c>
      <c r="E3" s="162">
        <v>41821</v>
      </c>
      <c r="F3" s="162">
        <v>41852</v>
      </c>
      <c r="G3" s="162">
        <v>41883</v>
      </c>
      <c r="H3" s="162">
        <v>41913</v>
      </c>
      <c r="I3" s="162">
        <v>41944</v>
      </c>
      <c r="J3" s="162">
        <v>41974</v>
      </c>
      <c r="K3" s="162">
        <v>42005</v>
      </c>
      <c r="L3" s="162">
        <v>42036</v>
      </c>
      <c r="M3" s="162">
        <v>42064</v>
      </c>
      <c r="N3" s="163" t="s">
        <v>87</v>
      </c>
      <c r="O3" s="163" t="s">
        <v>88</v>
      </c>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c r="AQ3" s="164"/>
    </row>
    <row r="4" spans="1:43" x14ac:dyDescent="0.25">
      <c r="A4" s="165" t="s">
        <v>89</v>
      </c>
      <c r="B4" s="166" t="s">
        <v>90</v>
      </c>
      <c r="C4" s="167">
        <v>7217</v>
      </c>
      <c r="D4" s="167">
        <v>6803</v>
      </c>
      <c r="E4" s="167">
        <v>7646</v>
      </c>
      <c r="F4" s="167">
        <v>6733</v>
      </c>
      <c r="G4" s="167">
        <v>6376</v>
      </c>
      <c r="H4" s="167">
        <v>7581</v>
      </c>
      <c r="I4" s="168">
        <v>8529</v>
      </c>
      <c r="J4" s="167">
        <v>9478</v>
      </c>
      <c r="K4" s="167">
        <v>10118</v>
      </c>
      <c r="L4" s="167">
        <v>9153</v>
      </c>
      <c r="M4" s="167">
        <v>6556</v>
      </c>
      <c r="N4" s="167">
        <f>SUM(C4:M4)</f>
        <v>86190</v>
      </c>
      <c r="O4" s="495"/>
    </row>
    <row r="5" spans="1:43" x14ac:dyDescent="0.25">
      <c r="A5" s="165" t="s">
        <v>91</v>
      </c>
      <c r="B5" s="165" t="s">
        <v>90</v>
      </c>
      <c r="C5" s="167">
        <v>108888</v>
      </c>
      <c r="D5" s="167">
        <v>98319</v>
      </c>
      <c r="E5" s="167">
        <v>109529</v>
      </c>
      <c r="F5" s="167">
        <v>107108</v>
      </c>
      <c r="G5" s="167">
        <v>102836</v>
      </c>
      <c r="H5" s="167">
        <v>117171</v>
      </c>
      <c r="I5" s="169">
        <v>95992</v>
      </c>
      <c r="J5" s="167">
        <v>103562</v>
      </c>
      <c r="K5" s="167">
        <v>111564</v>
      </c>
      <c r="L5" s="167">
        <v>100998</v>
      </c>
      <c r="M5" s="167">
        <v>117587</v>
      </c>
      <c r="N5" s="167">
        <f>SUM(C5:M5)</f>
        <v>1173554</v>
      </c>
      <c r="O5" s="496"/>
    </row>
    <row r="6" spans="1:43" x14ac:dyDescent="0.25">
      <c r="A6" s="165" t="s">
        <v>89</v>
      </c>
      <c r="B6" s="165" t="s">
        <v>92</v>
      </c>
      <c r="C6" s="170">
        <v>411</v>
      </c>
      <c r="D6" s="170">
        <v>469</v>
      </c>
      <c r="E6" s="170">
        <v>484</v>
      </c>
      <c r="F6" s="170">
        <v>436</v>
      </c>
      <c r="G6" s="170">
        <v>429</v>
      </c>
      <c r="H6" s="170">
        <v>392</v>
      </c>
      <c r="I6" s="171">
        <v>456</v>
      </c>
      <c r="J6" s="170">
        <v>576</v>
      </c>
      <c r="K6" s="167">
        <v>611</v>
      </c>
      <c r="L6" s="167">
        <v>495</v>
      </c>
      <c r="M6" s="167">
        <v>364</v>
      </c>
      <c r="N6" s="167">
        <f>SUM(C6:M6)</f>
        <v>5123</v>
      </c>
      <c r="O6" s="496"/>
    </row>
    <row r="7" spans="1:43" x14ac:dyDescent="0.25">
      <c r="A7" s="165" t="s">
        <v>91</v>
      </c>
      <c r="B7" s="165" t="s">
        <v>92</v>
      </c>
      <c r="C7" s="167">
        <v>5526</v>
      </c>
      <c r="D7" s="167">
        <v>5441</v>
      </c>
      <c r="E7" s="167">
        <v>5387</v>
      </c>
      <c r="F7" s="167">
        <v>4993</v>
      </c>
      <c r="G7" s="167">
        <v>5298</v>
      </c>
      <c r="H7" s="167">
        <v>4709</v>
      </c>
      <c r="I7" s="168">
        <v>4384</v>
      </c>
      <c r="J7" s="167">
        <v>4290</v>
      </c>
      <c r="K7" s="167">
        <v>4237</v>
      </c>
      <c r="L7" s="167">
        <v>3971</v>
      </c>
      <c r="M7" s="167">
        <v>4216</v>
      </c>
      <c r="N7" s="167">
        <f>SUM(C7:M7)</f>
        <v>52452</v>
      </c>
      <c r="O7" s="496"/>
    </row>
    <row r="8" spans="1:43" s="3" customFormat="1" x14ac:dyDescent="0.25">
      <c r="A8" s="172"/>
      <c r="B8" s="173" t="s">
        <v>93</v>
      </c>
      <c r="C8" s="174">
        <f t="shared" ref="C8:N8" si="0">SUM(C4:C7)</f>
        <v>122042</v>
      </c>
      <c r="D8" s="174">
        <f t="shared" si="0"/>
        <v>111032</v>
      </c>
      <c r="E8" s="174">
        <f t="shared" si="0"/>
        <v>123046</v>
      </c>
      <c r="F8" s="174">
        <f t="shared" si="0"/>
        <v>119270</v>
      </c>
      <c r="G8" s="174">
        <f t="shared" si="0"/>
        <v>114939</v>
      </c>
      <c r="H8" s="174">
        <f t="shared" si="0"/>
        <v>129853</v>
      </c>
      <c r="I8" s="174">
        <f t="shared" si="0"/>
        <v>109361</v>
      </c>
      <c r="J8" s="174">
        <f t="shared" si="0"/>
        <v>117906</v>
      </c>
      <c r="K8" s="174">
        <f t="shared" si="0"/>
        <v>126530</v>
      </c>
      <c r="L8" s="174">
        <f t="shared" si="0"/>
        <v>114617</v>
      </c>
      <c r="M8" s="174">
        <f t="shared" si="0"/>
        <v>128723</v>
      </c>
      <c r="N8" s="174">
        <f t="shared" si="0"/>
        <v>1317319</v>
      </c>
      <c r="O8" s="496"/>
    </row>
    <row r="9" spans="1:43" s="3" customFormat="1" x14ac:dyDescent="0.25">
      <c r="A9" s="172"/>
      <c r="B9" s="173" t="s">
        <v>94</v>
      </c>
      <c r="C9" s="175">
        <f t="shared" ref="C9:M9" si="1">((C8*$C$31)/$C$24)/$C$27</f>
        <v>15.779985080812269</v>
      </c>
      <c r="D9" s="175">
        <f t="shared" si="1"/>
        <v>14.356396187318692</v>
      </c>
      <c r="E9" s="175">
        <f t="shared" si="1"/>
        <v>15.909801906340657</v>
      </c>
      <c r="F9" s="175">
        <f t="shared" si="1"/>
        <v>15.421566514711978</v>
      </c>
      <c r="G9" s="175">
        <f t="shared" si="1"/>
        <v>14.86156983008703</v>
      </c>
      <c r="H9" s="175">
        <f t="shared" si="1"/>
        <v>16.789944467467883</v>
      </c>
      <c r="I9" s="175">
        <f t="shared" si="1"/>
        <v>14.14033651056776</v>
      </c>
      <c r="J9" s="175">
        <f t="shared" si="1"/>
        <v>15.245201823456281</v>
      </c>
      <c r="K9" s="175">
        <f t="shared" si="1"/>
        <v>16.360281806879406</v>
      </c>
      <c r="L9" s="175">
        <f t="shared" si="1"/>
        <v>14.819935350186494</v>
      </c>
      <c r="M9" s="175">
        <f t="shared" si="1"/>
        <v>16.643835888934941</v>
      </c>
      <c r="N9" s="176"/>
      <c r="O9" s="496"/>
    </row>
    <row r="10" spans="1:43" s="3" customFormat="1" x14ac:dyDescent="0.25">
      <c r="A10" s="172"/>
      <c r="B10" s="173" t="s">
        <v>95</v>
      </c>
      <c r="C10" s="175">
        <f t="shared" ref="C10:M10" si="2">((C8*$C$32)/$C$24)/$C$28</f>
        <v>33.732113856959018</v>
      </c>
      <c r="D10" s="175">
        <f t="shared" si="2"/>
        <v>30.688976465199474</v>
      </c>
      <c r="E10" s="175">
        <f t="shared" si="2"/>
        <v>34.009617030558168</v>
      </c>
      <c r="F10" s="175">
        <f t="shared" si="2"/>
        <v>32.965939756145445</v>
      </c>
      <c r="G10" s="175">
        <f t="shared" si="2"/>
        <v>31.768861823020053</v>
      </c>
      <c r="H10" s="175">
        <f t="shared" si="2"/>
        <v>35.891055379850371</v>
      </c>
      <c r="I10" s="175">
        <f t="shared" si="2"/>
        <v>30.227116103561848</v>
      </c>
      <c r="J10" s="175">
        <f t="shared" si="2"/>
        <v>32.588933452570508</v>
      </c>
      <c r="K10" s="175">
        <f t="shared" si="2"/>
        <v>34.972586210657184</v>
      </c>
      <c r="L10" s="175">
        <f t="shared" si="2"/>
        <v>31.679861801208368</v>
      </c>
      <c r="M10" s="175">
        <f t="shared" si="2"/>
        <v>35.57872611075971</v>
      </c>
      <c r="N10" s="176"/>
      <c r="O10" s="497"/>
    </row>
    <row r="11" spans="1:43" s="3" customFormat="1" ht="14.45" x14ac:dyDescent="0.3">
      <c r="A11" s="172"/>
      <c r="B11" s="173" t="s">
        <v>43</v>
      </c>
      <c r="C11" s="177">
        <f t="shared" ref="C11:M11" si="3">SUM(C9:C10)</f>
        <v>49.512098937771285</v>
      </c>
      <c r="D11" s="177">
        <f t="shared" si="3"/>
        <v>45.045372652518168</v>
      </c>
      <c r="E11" s="177">
        <f t="shared" si="3"/>
        <v>49.919418936898822</v>
      </c>
      <c r="F11" s="177">
        <f t="shared" si="3"/>
        <v>48.387506270857422</v>
      </c>
      <c r="G11" s="177">
        <f t="shared" si="3"/>
        <v>46.630431653107081</v>
      </c>
      <c r="H11" s="177">
        <f t="shared" si="3"/>
        <v>52.680999847318255</v>
      </c>
      <c r="I11" s="177">
        <f t="shared" si="3"/>
        <v>44.367452614129604</v>
      </c>
      <c r="J11" s="177">
        <f t="shared" si="3"/>
        <v>47.834135276026785</v>
      </c>
      <c r="K11" s="177">
        <f t="shared" si="3"/>
        <v>51.33286801753659</v>
      </c>
      <c r="L11" s="177">
        <f t="shared" si="3"/>
        <v>46.499797151394858</v>
      </c>
      <c r="M11" s="177">
        <f t="shared" si="3"/>
        <v>52.222561999694648</v>
      </c>
      <c r="N11" s="178"/>
      <c r="O11" s="179">
        <f>AVERAGE(C11:M11)</f>
        <v>48.584785759750325</v>
      </c>
    </row>
    <row r="12" spans="1:43" s="20" customFormat="1" ht="14.45" x14ac:dyDescent="0.3">
      <c r="A12" s="494" t="s">
        <v>96</v>
      </c>
      <c r="B12" s="494"/>
      <c r="C12" s="162">
        <v>41760</v>
      </c>
      <c r="D12" s="162">
        <v>41791</v>
      </c>
      <c r="E12" s="162">
        <v>41821</v>
      </c>
      <c r="F12" s="162">
        <v>41852</v>
      </c>
      <c r="G12" s="162">
        <v>41883</v>
      </c>
      <c r="H12" s="162">
        <v>41913</v>
      </c>
      <c r="I12" s="162">
        <v>41944</v>
      </c>
      <c r="J12" s="162">
        <v>41974</v>
      </c>
      <c r="K12" s="162">
        <v>42005</v>
      </c>
      <c r="L12" s="162">
        <v>42036</v>
      </c>
      <c r="M12" s="162">
        <v>42064</v>
      </c>
      <c r="N12" s="180" t="s">
        <v>87</v>
      </c>
      <c r="O12" s="163" t="s">
        <v>88</v>
      </c>
    </row>
    <row r="13" spans="1:43" x14ac:dyDescent="0.25">
      <c r="A13" s="165" t="s">
        <v>89</v>
      </c>
      <c r="B13" s="165" t="s">
        <v>97</v>
      </c>
      <c r="C13" s="167">
        <v>665</v>
      </c>
      <c r="D13" s="167">
        <v>759</v>
      </c>
      <c r="E13" s="167">
        <v>891</v>
      </c>
      <c r="F13" s="167">
        <v>768</v>
      </c>
      <c r="G13" s="167">
        <v>822</v>
      </c>
      <c r="H13" s="167">
        <v>831</v>
      </c>
      <c r="I13" s="168">
        <v>906</v>
      </c>
      <c r="J13" s="167">
        <v>765</v>
      </c>
      <c r="K13" s="167">
        <v>928</v>
      </c>
      <c r="L13" s="167">
        <v>707</v>
      </c>
      <c r="M13" s="167">
        <v>603</v>
      </c>
      <c r="N13" s="167">
        <f>SUM(C13:M13)</f>
        <v>8645</v>
      </c>
      <c r="O13" s="495"/>
    </row>
    <row r="14" spans="1:43" x14ac:dyDescent="0.25">
      <c r="A14" s="165" t="s">
        <v>91</v>
      </c>
      <c r="B14" s="165" t="s">
        <v>97</v>
      </c>
      <c r="C14" s="167">
        <v>18698</v>
      </c>
      <c r="D14" s="167">
        <v>18706</v>
      </c>
      <c r="E14" s="167">
        <v>20617</v>
      </c>
      <c r="F14" s="167">
        <v>18008</v>
      </c>
      <c r="G14" s="167">
        <v>19522</v>
      </c>
      <c r="H14" s="167">
        <v>20162</v>
      </c>
      <c r="I14" s="168">
        <v>18809</v>
      </c>
      <c r="J14" s="181">
        <v>20826</v>
      </c>
      <c r="K14" s="167">
        <v>20023</v>
      </c>
      <c r="L14" s="167">
        <v>17638</v>
      </c>
      <c r="M14" s="167">
        <v>18620</v>
      </c>
      <c r="N14" s="167">
        <f>SUM(C14:M14)</f>
        <v>211629</v>
      </c>
      <c r="O14" s="496"/>
    </row>
    <row r="15" spans="1:43" s="3" customFormat="1" x14ac:dyDescent="0.25">
      <c r="A15" s="182"/>
      <c r="B15" s="173" t="s">
        <v>93</v>
      </c>
      <c r="C15" s="174">
        <f t="shared" ref="C15:N15" si="4">SUM(C13:C14)</f>
        <v>19363</v>
      </c>
      <c r="D15" s="174">
        <f t="shared" si="4"/>
        <v>19465</v>
      </c>
      <c r="E15" s="174">
        <f t="shared" si="4"/>
        <v>21508</v>
      </c>
      <c r="F15" s="174">
        <f t="shared" si="4"/>
        <v>18776</v>
      </c>
      <c r="G15" s="174">
        <f t="shared" si="4"/>
        <v>20344</v>
      </c>
      <c r="H15" s="174">
        <f t="shared" si="4"/>
        <v>20993</v>
      </c>
      <c r="I15" s="174">
        <f t="shared" si="4"/>
        <v>19715</v>
      </c>
      <c r="J15" s="174">
        <f t="shared" si="4"/>
        <v>21591</v>
      </c>
      <c r="K15" s="174">
        <f t="shared" si="4"/>
        <v>20951</v>
      </c>
      <c r="L15" s="174">
        <f t="shared" si="4"/>
        <v>18345</v>
      </c>
      <c r="M15" s="174">
        <f t="shared" si="4"/>
        <v>19223</v>
      </c>
      <c r="N15" s="174">
        <f t="shared" si="4"/>
        <v>220274</v>
      </c>
      <c r="O15" s="497"/>
    </row>
    <row r="16" spans="1:43" ht="14.45" x14ac:dyDescent="0.3">
      <c r="A16" s="183"/>
      <c r="B16" s="184" t="s">
        <v>98</v>
      </c>
      <c r="C16" s="185">
        <f t="shared" ref="C16:M16" si="5">C15/$C$24/$C$26</f>
        <v>30.263643360369432</v>
      </c>
      <c r="D16" s="185">
        <f t="shared" si="5"/>
        <v>30.423065537860403</v>
      </c>
      <c r="E16" s="185">
        <f t="shared" si="5"/>
        <v>33.616197975253094</v>
      </c>
      <c r="F16" s="185">
        <f t="shared" si="5"/>
        <v>29.346184358534135</v>
      </c>
      <c r="G16" s="185">
        <f t="shared" si="5"/>
        <v>31.796909596826715</v>
      </c>
      <c r="H16" s="185">
        <f t="shared" si="5"/>
        <v>32.811272275176137</v>
      </c>
      <c r="I16" s="185">
        <f t="shared" si="5"/>
        <v>30.813806168965726</v>
      </c>
      <c r="J16" s="185">
        <f t="shared" si="5"/>
        <v>33.74592386478006</v>
      </c>
      <c r="K16" s="185">
        <f t="shared" si="5"/>
        <v>32.745627849150445</v>
      </c>
      <c r="L16" s="185">
        <f t="shared" si="5"/>
        <v>28.672547510508558</v>
      </c>
      <c r="M16" s="185">
        <f t="shared" si="5"/>
        <v>30.04482860695045</v>
      </c>
      <c r="N16" s="186"/>
      <c r="O16" s="179">
        <f>AVERAGE(C16:M16)</f>
        <v>31.298182464034099</v>
      </c>
    </row>
    <row r="17" spans="1:15" s="3" customFormat="1" ht="14.45" x14ac:dyDescent="0.3">
      <c r="A17" s="498" t="s">
        <v>99</v>
      </c>
      <c r="B17" s="498"/>
      <c r="C17" s="187">
        <f t="shared" ref="C17:M17" si="6">C11+C16</f>
        <v>79.775742298140713</v>
      </c>
      <c r="D17" s="187">
        <f t="shared" si="6"/>
        <v>75.468438190378578</v>
      </c>
      <c r="E17" s="187">
        <f t="shared" si="6"/>
        <v>83.535616912151909</v>
      </c>
      <c r="F17" s="187">
        <f t="shared" si="6"/>
        <v>77.73369062939156</v>
      </c>
      <c r="G17" s="187">
        <f t="shared" si="6"/>
        <v>78.427341249933789</v>
      </c>
      <c r="H17" s="187">
        <f t="shared" si="6"/>
        <v>85.492272122494398</v>
      </c>
      <c r="I17" s="187">
        <f t="shared" si="6"/>
        <v>75.181258783095331</v>
      </c>
      <c r="J17" s="187">
        <f t="shared" si="6"/>
        <v>81.580059140806839</v>
      </c>
      <c r="K17" s="187">
        <f t="shared" si="6"/>
        <v>84.078495866687035</v>
      </c>
      <c r="L17" s="187">
        <f t="shared" si="6"/>
        <v>75.172344661903423</v>
      </c>
      <c r="M17" s="187">
        <f t="shared" si="6"/>
        <v>82.267390606645094</v>
      </c>
      <c r="N17" s="188"/>
      <c r="O17" s="179">
        <f>AVERAGE(C17:M17)</f>
        <v>79.882968223784417</v>
      </c>
    </row>
    <row r="18" spans="1:15" s="3" customFormat="1" ht="14.45" x14ac:dyDescent="0.3">
      <c r="A18" s="134"/>
      <c r="B18" s="134"/>
      <c r="C18" s="189"/>
      <c r="D18" s="189"/>
      <c r="E18" s="189"/>
      <c r="F18" s="189"/>
      <c r="G18" s="189"/>
      <c r="H18" s="189"/>
      <c r="I18" s="189"/>
      <c r="J18" s="189"/>
      <c r="K18" s="189"/>
      <c r="L18" s="189"/>
      <c r="M18" s="189"/>
      <c r="N18" s="133"/>
      <c r="O18" s="190"/>
    </row>
    <row r="19" spans="1:15" thickBot="1" x14ac:dyDescent="0.35"/>
    <row r="20" spans="1:15" s="3" customFormat="1" thickBot="1" x14ac:dyDescent="0.35">
      <c r="A20" s="499" t="s">
        <v>100</v>
      </c>
      <c r="B20" s="500"/>
      <c r="C20" s="501"/>
      <c r="E20" s="191"/>
      <c r="F20" s="502" t="s">
        <v>101</v>
      </c>
      <c r="G20" s="502"/>
      <c r="H20" s="502"/>
      <c r="I20" s="502"/>
      <c r="J20" s="502"/>
      <c r="K20" s="502"/>
      <c r="L20" s="502"/>
      <c r="M20" s="502"/>
      <c r="N20" s="502"/>
      <c r="O20" s="502"/>
    </row>
    <row r="21" spans="1:15" ht="14.45" x14ac:dyDescent="0.3">
      <c r="A21" s="503" t="s">
        <v>102</v>
      </c>
      <c r="B21" s="504"/>
      <c r="C21" s="192">
        <f>AVERAGE(C2:M2)</f>
        <v>20.363636363636363</v>
      </c>
      <c r="E21" s="193"/>
      <c r="F21" s="490" t="s">
        <v>77</v>
      </c>
      <c r="G21" s="491"/>
      <c r="H21" s="491"/>
      <c r="I21" s="491"/>
      <c r="J21" s="491"/>
      <c r="K21" s="491"/>
      <c r="L21" s="491"/>
      <c r="M21" s="491"/>
      <c r="N21" s="492"/>
      <c r="O21" s="193"/>
    </row>
    <row r="22" spans="1:15" ht="14.45" x14ac:dyDescent="0.3">
      <c r="A22" s="484" t="s">
        <v>103</v>
      </c>
      <c r="B22" s="485"/>
      <c r="C22" s="194">
        <f>20/12</f>
        <v>1.6666666666666667</v>
      </c>
      <c r="E22" s="193"/>
      <c r="F22" s="167">
        <f>1%*AVERAGE(C8:M8)</f>
        <v>1197.5627272727272</v>
      </c>
      <c r="G22" s="195" t="s">
        <v>104</v>
      </c>
      <c r="H22" s="195"/>
      <c r="I22" s="195"/>
      <c r="J22" s="195"/>
      <c r="K22" s="195"/>
      <c r="L22" s="195"/>
      <c r="M22" s="195"/>
      <c r="N22" s="196"/>
      <c r="O22" s="193"/>
    </row>
    <row r="23" spans="1:15" ht="14.45" x14ac:dyDescent="0.3">
      <c r="A23" s="484" t="s">
        <v>105</v>
      </c>
      <c r="B23" s="485"/>
      <c r="C23" s="194">
        <f>5/12</f>
        <v>0.41666666666666669</v>
      </c>
      <c r="E23" s="193"/>
      <c r="F23" s="338"/>
      <c r="G23" s="197" t="s">
        <v>106</v>
      </c>
      <c r="H23" s="197"/>
      <c r="I23" s="54"/>
      <c r="J23" s="54"/>
      <c r="K23" s="54"/>
      <c r="L23" s="54"/>
      <c r="M23" s="54"/>
      <c r="N23" s="198"/>
      <c r="O23" s="193"/>
    </row>
    <row r="24" spans="1:15" ht="14.45" x14ac:dyDescent="0.3">
      <c r="A24" s="484" t="s">
        <v>107</v>
      </c>
      <c r="B24" s="485"/>
      <c r="C24" s="194">
        <f>C21-C22-C23</f>
        <v>18.280303030303028</v>
      </c>
      <c r="E24" s="193"/>
      <c r="F24" s="490" t="s">
        <v>78</v>
      </c>
      <c r="G24" s="491"/>
      <c r="H24" s="491"/>
      <c r="I24" s="491"/>
      <c r="J24" s="491"/>
      <c r="K24" s="491"/>
      <c r="L24" s="491"/>
      <c r="M24" s="491"/>
      <c r="N24" s="492"/>
      <c r="O24" s="193"/>
    </row>
    <row r="25" spans="1:15" ht="14.45" x14ac:dyDescent="0.3">
      <c r="A25" s="486"/>
      <c r="B25" s="487"/>
      <c r="C25" s="199"/>
      <c r="E25" s="193"/>
      <c r="F25" s="167">
        <f>AVERAGE(C15:M15)</f>
        <v>20024.909090909092</v>
      </c>
      <c r="G25" s="195" t="s">
        <v>108</v>
      </c>
      <c r="H25" s="195"/>
      <c r="I25" s="195"/>
      <c r="J25" s="195"/>
      <c r="K25" s="195"/>
      <c r="L25" s="195"/>
      <c r="M25" s="195"/>
      <c r="N25" s="196"/>
      <c r="O25" s="193"/>
    </row>
    <row r="26" spans="1:15" ht="14.45" x14ac:dyDescent="0.3">
      <c r="A26" s="484" t="s">
        <v>109</v>
      </c>
      <c r="B26" s="485"/>
      <c r="C26" s="200">
        <v>35</v>
      </c>
      <c r="E26" s="193"/>
      <c r="F26" s="167">
        <f>0.7*F25</f>
        <v>14017.436363636363</v>
      </c>
      <c r="G26" s="195" t="s">
        <v>110</v>
      </c>
      <c r="H26" s="195"/>
      <c r="I26" s="195"/>
      <c r="J26" s="195"/>
      <c r="K26" s="195"/>
      <c r="L26" s="195"/>
      <c r="M26" s="195"/>
      <c r="N26" s="196"/>
      <c r="O26" s="193"/>
    </row>
    <row r="27" spans="1:15" ht="14.45" x14ac:dyDescent="0.3">
      <c r="A27" s="484" t="s">
        <v>111</v>
      </c>
      <c r="B27" s="485"/>
      <c r="C27" s="200">
        <v>220</v>
      </c>
      <c r="E27" s="193"/>
      <c r="F27" s="167">
        <f>F25-F26</f>
        <v>6007.4727272727287</v>
      </c>
      <c r="G27" s="195" t="s">
        <v>112</v>
      </c>
      <c r="H27" s="195"/>
      <c r="I27" s="195"/>
      <c r="J27" s="195"/>
      <c r="K27" s="195"/>
      <c r="L27" s="195"/>
      <c r="M27" s="195"/>
      <c r="N27" s="196"/>
      <c r="O27" s="193"/>
    </row>
    <row r="28" spans="1:15" ht="14.45" x14ac:dyDescent="0.3">
      <c r="A28" s="484" t="s">
        <v>113</v>
      </c>
      <c r="B28" s="485"/>
      <c r="C28" s="200">
        <v>95</v>
      </c>
      <c r="E28" s="193"/>
      <c r="F28" s="337"/>
      <c r="G28" s="202" t="s">
        <v>106</v>
      </c>
      <c r="H28" s="202"/>
      <c r="I28" s="202"/>
      <c r="J28" s="195"/>
      <c r="K28" s="195"/>
      <c r="L28" s="195"/>
      <c r="M28" s="195"/>
      <c r="N28" s="196"/>
      <c r="O28" s="193"/>
    </row>
    <row r="29" spans="1:15" x14ac:dyDescent="0.25">
      <c r="A29" s="484" t="s">
        <v>114</v>
      </c>
      <c r="B29" s="485"/>
      <c r="C29" s="200">
        <v>70</v>
      </c>
      <c r="E29" s="193"/>
      <c r="F29" s="193"/>
      <c r="G29" s="193"/>
      <c r="H29" s="193"/>
      <c r="I29" s="193"/>
      <c r="J29" s="193"/>
      <c r="K29" s="193"/>
      <c r="L29" s="193"/>
      <c r="M29" s="193"/>
      <c r="N29" s="193"/>
      <c r="O29" s="193"/>
    </row>
    <row r="30" spans="1:15" x14ac:dyDescent="0.25">
      <c r="A30" s="486"/>
      <c r="B30" s="487"/>
      <c r="C30" s="199"/>
    </row>
    <row r="31" spans="1:15" x14ac:dyDescent="0.25">
      <c r="A31" s="484" t="s">
        <v>115</v>
      </c>
      <c r="B31" s="485"/>
      <c r="C31" s="203">
        <v>0.52</v>
      </c>
    </row>
    <row r="32" spans="1:15" ht="15.75" thickBot="1" x14ac:dyDescent="0.3">
      <c r="A32" s="488" t="s">
        <v>116</v>
      </c>
      <c r="B32" s="489"/>
      <c r="C32" s="204">
        <v>0.48</v>
      </c>
    </row>
  </sheetData>
  <mergeCells count="22">
    <mergeCell ref="A23:B23"/>
    <mergeCell ref="A2:B2"/>
    <mergeCell ref="A3:B3"/>
    <mergeCell ref="O4:O10"/>
    <mergeCell ref="A12:B12"/>
    <mergeCell ref="O13:O15"/>
    <mergeCell ref="A17:B17"/>
    <mergeCell ref="A20:C20"/>
    <mergeCell ref="F20:O20"/>
    <mergeCell ref="A21:B21"/>
    <mergeCell ref="F21:N21"/>
    <mergeCell ref="A22:B22"/>
    <mergeCell ref="F24:N24"/>
    <mergeCell ref="A25:B25"/>
    <mergeCell ref="A26:B26"/>
    <mergeCell ref="A27:B27"/>
    <mergeCell ref="A28:B28"/>
    <mergeCell ref="A29:B29"/>
    <mergeCell ref="A30:B30"/>
    <mergeCell ref="A31:B31"/>
    <mergeCell ref="A32:B32"/>
    <mergeCell ref="A24:B2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election activeCell="D25" sqref="D25"/>
    </sheetView>
  </sheetViews>
  <sheetFormatPr defaultRowHeight="15" x14ac:dyDescent="0.25"/>
  <cols>
    <col min="2" max="2" width="12.85546875" bestFit="1" customWidth="1"/>
    <col min="4" max="4" width="13.28515625" style="150" customWidth="1"/>
    <col min="5" max="5" width="11.28515625" customWidth="1"/>
    <col min="6" max="6" width="13.7109375" customWidth="1"/>
    <col min="7" max="7" width="15.140625" customWidth="1"/>
    <col min="8" max="8" width="8" customWidth="1"/>
    <col min="9" max="9" width="11.5703125" bestFit="1" customWidth="1"/>
  </cols>
  <sheetData>
    <row r="1" spans="1:9" thickBot="1" x14ac:dyDescent="0.35"/>
    <row r="2" spans="1:9" ht="14.45" x14ac:dyDescent="0.3">
      <c r="A2" s="205"/>
      <c r="B2" s="507" t="s">
        <v>117</v>
      </c>
      <c r="C2" s="507"/>
      <c r="D2" s="507"/>
      <c r="E2" s="507"/>
      <c r="F2" s="507"/>
      <c r="G2" s="507"/>
      <c r="H2" s="507"/>
      <c r="I2" s="508"/>
    </row>
    <row r="3" spans="1:9" s="3" customFormat="1" ht="28.9" x14ac:dyDescent="0.3">
      <c r="A3" s="206"/>
      <c r="B3" s="207"/>
      <c r="C3" s="207"/>
      <c r="D3" s="208" t="s">
        <v>118</v>
      </c>
      <c r="E3" s="509" t="s">
        <v>119</v>
      </c>
      <c r="F3" s="509"/>
      <c r="G3" s="509" t="s">
        <v>120</v>
      </c>
      <c r="H3" s="509"/>
      <c r="I3" s="209" t="s">
        <v>121</v>
      </c>
    </row>
    <row r="4" spans="1:9" s="3" customFormat="1" ht="14.45" x14ac:dyDescent="0.3">
      <c r="A4" s="210" t="s">
        <v>122</v>
      </c>
      <c r="B4" s="201" t="s">
        <v>123</v>
      </c>
      <c r="C4" s="201" t="s">
        <v>124</v>
      </c>
      <c r="D4" s="211"/>
      <c r="E4" s="211" t="s">
        <v>125</v>
      </c>
      <c r="F4" s="211" t="s">
        <v>126</v>
      </c>
      <c r="G4" s="211" t="s">
        <v>125</v>
      </c>
      <c r="H4" s="211" t="s">
        <v>126</v>
      </c>
      <c r="I4" s="212" t="s">
        <v>126</v>
      </c>
    </row>
    <row r="5" spans="1:9" ht="14.45" x14ac:dyDescent="0.3">
      <c r="A5" s="213">
        <v>0.10883482714468631</v>
      </c>
      <c r="B5" s="167" t="s">
        <v>127</v>
      </c>
      <c r="C5" s="167" t="s">
        <v>128</v>
      </c>
      <c r="D5" s="214">
        <v>1</v>
      </c>
      <c r="E5" s="215">
        <f>A5*'[4]Actuals + Forecasts'!$O$11</f>
        <v>5.2877167600240433</v>
      </c>
      <c r="F5" s="215">
        <v>5</v>
      </c>
      <c r="G5" s="215">
        <f>A5*'[4]Actuals + Forecasts'!$O$16</f>
        <v>3.4063322784160035</v>
      </c>
      <c r="H5" s="215">
        <v>3.5</v>
      </c>
      <c r="I5" s="200"/>
    </row>
    <row r="6" spans="1:9" ht="14.45" x14ac:dyDescent="0.3">
      <c r="A6" s="213">
        <v>0.14084507042253522</v>
      </c>
      <c r="B6" s="167" t="s">
        <v>129</v>
      </c>
      <c r="C6" s="167" t="s">
        <v>130</v>
      </c>
      <c r="D6" s="214">
        <v>1</v>
      </c>
      <c r="E6" s="215">
        <f>A6*'[4]Actuals + Forecasts'!$O$11</f>
        <v>6.8429275717958209</v>
      </c>
      <c r="F6" s="215">
        <v>6</v>
      </c>
      <c r="G6" s="215">
        <f>A6*'[4]Actuals + Forecasts'!$O$16</f>
        <v>4.4081947132442396</v>
      </c>
      <c r="H6" s="215">
        <v>5</v>
      </c>
      <c r="I6" s="200">
        <v>3</v>
      </c>
    </row>
    <row r="7" spans="1:9" ht="14.45" x14ac:dyDescent="0.3">
      <c r="A7" s="213">
        <v>7.6824583866837395E-2</v>
      </c>
      <c r="B7" s="167" t="s">
        <v>131</v>
      </c>
      <c r="C7" s="167" t="s">
        <v>128</v>
      </c>
      <c r="D7" s="214">
        <v>1</v>
      </c>
      <c r="E7" s="215">
        <f>A7*'[4]Actuals + Forecasts'!$O$11</f>
        <v>3.7325059482522662</v>
      </c>
      <c r="F7" s="215">
        <v>3</v>
      </c>
      <c r="G7" s="215">
        <f>A7*'[4]Actuals + Forecasts'!$O$16</f>
        <v>2.4044698435877669</v>
      </c>
      <c r="H7" s="215">
        <v>3</v>
      </c>
      <c r="I7" s="200"/>
    </row>
    <row r="8" spans="1:9" ht="14.45" x14ac:dyDescent="0.3">
      <c r="A8" s="213">
        <v>0.17925736235595391</v>
      </c>
      <c r="B8" s="167" t="s">
        <v>132</v>
      </c>
      <c r="C8" s="167" t="s">
        <v>130</v>
      </c>
      <c r="D8" s="214">
        <v>1</v>
      </c>
      <c r="E8" s="215">
        <f>A8*'[4]Actuals + Forecasts'!$O$11</f>
        <v>8.7091805459219529</v>
      </c>
      <c r="F8" s="215">
        <v>8</v>
      </c>
      <c r="G8" s="215">
        <f>A8*'[4]Actuals + Forecasts'!$O$16</f>
        <v>5.6104296350381224</v>
      </c>
      <c r="H8" s="215">
        <v>6</v>
      </c>
      <c r="I8" s="200">
        <v>3</v>
      </c>
    </row>
    <row r="9" spans="1:9" ht="14.45" x14ac:dyDescent="0.3">
      <c r="A9" s="213">
        <v>0.17925736235595391</v>
      </c>
      <c r="B9" s="167" t="s">
        <v>133</v>
      </c>
      <c r="C9" s="167" t="s">
        <v>130</v>
      </c>
      <c r="D9" s="214">
        <v>1</v>
      </c>
      <c r="E9" s="215">
        <f>A9*'[4]Actuals + Forecasts'!$O$11</f>
        <v>8.7091805459219529</v>
      </c>
      <c r="F9" s="215">
        <v>8</v>
      </c>
      <c r="G9" s="215">
        <f>A9*'[4]Actuals + Forecasts'!$O$16</f>
        <v>5.6104296350381224</v>
      </c>
      <c r="H9" s="215">
        <v>6</v>
      </c>
      <c r="I9" s="200">
        <v>1</v>
      </c>
    </row>
    <row r="10" spans="1:9" ht="14.45" x14ac:dyDescent="0.3">
      <c r="A10" s="213">
        <v>0.11523687580025609</v>
      </c>
      <c r="B10" s="167" t="s">
        <v>134</v>
      </c>
      <c r="C10" s="167" t="s">
        <v>128</v>
      </c>
      <c r="D10" s="214">
        <v>1</v>
      </c>
      <c r="E10" s="215">
        <f>A10*'[4]Actuals + Forecasts'!$O$11</f>
        <v>5.5987589223783987</v>
      </c>
      <c r="F10" s="215">
        <v>5</v>
      </c>
      <c r="G10" s="215">
        <f>A10*'[4]Actuals + Forecasts'!$O$16</f>
        <v>3.6067047653816506</v>
      </c>
      <c r="H10" s="215">
        <v>4</v>
      </c>
      <c r="I10" s="200"/>
    </row>
    <row r="11" spans="1:9" ht="14.45" x14ac:dyDescent="0.3">
      <c r="A11" s="213">
        <v>9.7311139564660698E-2</v>
      </c>
      <c r="B11" s="167" t="s">
        <v>135</v>
      </c>
      <c r="C11" s="167" t="s">
        <v>128</v>
      </c>
      <c r="D11" s="214">
        <v>1</v>
      </c>
      <c r="E11" s="215">
        <f>A11*'[4]Actuals + Forecasts'!$O$11</f>
        <v>4.7278408677862034</v>
      </c>
      <c r="F11" s="215">
        <v>4.5999999999999996</v>
      </c>
      <c r="G11" s="215">
        <f>A11*'[4]Actuals + Forecasts'!$O$16</f>
        <v>3.0456618018778383</v>
      </c>
      <c r="H11" s="215">
        <v>3</v>
      </c>
      <c r="I11" s="200">
        <v>1</v>
      </c>
    </row>
    <row r="12" spans="1:9" ht="14.45" x14ac:dyDescent="0.3">
      <c r="A12" s="213">
        <v>0.10243277848911653</v>
      </c>
      <c r="B12" s="167" t="s">
        <v>136</v>
      </c>
      <c r="C12" s="167" t="s">
        <v>128</v>
      </c>
      <c r="D12" s="214">
        <v>1</v>
      </c>
      <c r="E12" s="215">
        <f>A12*'[4]Actuals + Forecasts'!$O$11</f>
        <v>4.976674597669688</v>
      </c>
      <c r="F12" s="215">
        <v>5</v>
      </c>
      <c r="G12" s="215">
        <f>A12*'[4]Actuals + Forecasts'!$O$16</f>
        <v>3.2059597914503564</v>
      </c>
      <c r="H12" s="215">
        <v>3</v>
      </c>
      <c r="I12" s="200"/>
    </row>
    <row r="13" spans="1:9" s="3" customFormat="1" ht="14.45" x14ac:dyDescent="0.3">
      <c r="A13" s="206"/>
      <c r="B13" s="510" t="s">
        <v>137</v>
      </c>
      <c r="C13" s="510"/>
      <c r="D13" s="216">
        <f>SUM(D5:D12)</f>
        <v>8</v>
      </c>
      <c r="E13" s="217"/>
      <c r="F13" s="216">
        <f>SUM(F5:F12)</f>
        <v>44.6</v>
      </c>
      <c r="G13" s="217"/>
      <c r="H13" s="216">
        <f>SUM(H5:H12)</f>
        <v>33.5</v>
      </c>
      <c r="I13" s="216">
        <f>SUM(I5:I12)</f>
        <v>8</v>
      </c>
    </row>
    <row r="14" spans="1:9" s="3" customFormat="1" ht="14.45" x14ac:dyDescent="0.3">
      <c r="A14" s="206"/>
      <c r="B14" s="207"/>
      <c r="C14" s="207"/>
      <c r="D14" s="218"/>
      <c r="E14" s="218"/>
      <c r="F14" s="218"/>
      <c r="G14" s="218"/>
      <c r="H14" s="218"/>
      <c r="I14" s="219"/>
    </row>
    <row r="15" spans="1:9" s="3" customFormat="1" ht="14.45" x14ac:dyDescent="0.3">
      <c r="A15" s="206"/>
      <c r="B15" s="207"/>
      <c r="C15" s="207"/>
      <c r="D15" s="511" t="s">
        <v>138</v>
      </c>
      <c r="E15" s="511"/>
      <c r="F15" s="511"/>
      <c r="G15" s="511"/>
      <c r="H15" s="511"/>
      <c r="I15" s="512"/>
    </row>
    <row r="16" spans="1:9" ht="14.45" x14ac:dyDescent="0.3">
      <c r="A16" s="220"/>
      <c r="B16" s="167" t="s">
        <v>80</v>
      </c>
      <c r="C16" s="167">
        <v>1</v>
      </c>
      <c r="D16" s="485" t="s">
        <v>139</v>
      </c>
      <c r="E16" s="485"/>
      <c r="F16" s="485"/>
      <c r="G16" s="485"/>
      <c r="H16" s="485"/>
      <c r="I16" s="505"/>
    </row>
    <row r="17" spans="1:9" ht="14.45" x14ac:dyDescent="0.3">
      <c r="A17" s="220"/>
      <c r="B17" s="167" t="s">
        <v>79</v>
      </c>
      <c r="C17" s="167">
        <v>2</v>
      </c>
      <c r="D17" s="485" t="s">
        <v>140</v>
      </c>
      <c r="E17" s="485"/>
      <c r="F17" s="485"/>
      <c r="G17" s="485"/>
      <c r="H17" s="485"/>
      <c r="I17" s="505"/>
    </row>
    <row r="18" spans="1:9" thickBot="1" x14ac:dyDescent="0.35">
      <c r="A18" s="221"/>
      <c r="B18" s="222" t="s">
        <v>37</v>
      </c>
      <c r="C18" s="223">
        <v>5</v>
      </c>
      <c r="D18" s="489" t="s">
        <v>141</v>
      </c>
      <c r="E18" s="489"/>
      <c r="F18" s="489"/>
      <c r="G18" s="489"/>
      <c r="H18" s="489"/>
      <c r="I18" s="506"/>
    </row>
    <row r="23" spans="1:9" ht="14.45" x14ac:dyDescent="0.3">
      <c r="A23" s="224"/>
    </row>
    <row r="24" spans="1:9" ht="14.45" x14ac:dyDescent="0.3">
      <c r="A24" s="224"/>
    </row>
    <row r="25" spans="1:9" ht="14.45" x14ac:dyDescent="0.3">
      <c r="A25" s="224"/>
    </row>
    <row r="26" spans="1:9" ht="14.45" x14ac:dyDescent="0.3">
      <c r="A26" s="224"/>
    </row>
    <row r="27" spans="1:9" ht="14.45" x14ac:dyDescent="0.3">
      <c r="A27" s="224"/>
    </row>
    <row r="28" spans="1:9" x14ac:dyDescent="0.25">
      <c r="A28" s="224"/>
    </row>
    <row r="29" spans="1:9" x14ac:dyDescent="0.25">
      <c r="A29" s="224"/>
    </row>
    <row r="30" spans="1:9" x14ac:dyDescent="0.25">
      <c r="A30" s="224"/>
    </row>
    <row r="31" spans="1:9" x14ac:dyDescent="0.25">
      <c r="A31" s="224"/>
    </row>
  </sheetData>
  <mergeCells count="8">
    <mergeCell ref="D17:I17"/>
    <mergeCell ref="D18:I18"/>
    <mergeCell ref="B2:I2"/>
    <mergeCell ref="E3:F3"/>
    <mergeCell ref="G3:H3"/>
    <mergeCell ref="B13:C13"/>
    <mergeCell ref="D15:I15"/>
    <mergeCell ref="D16:I1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H47"/>
  <sheetViews>
    <sheetView showGridLines="0" zoomScaleNormal="100" workbookViewId="0">
      <selection activeCell="E28" sqref="E28"/>
    </sheetView>
  </sheetViews>
  <sheetFormatPr defaultRowHeight="15" x14ac:dyDescent="0.25"/>
  <cols>
    <col min="1" max="1" width="17.5703125" bestFit="1" customWidth="1"/>
    <col min="2" max="2" width="12.140625" bestFit="1" customWidth="1"/>
    <col min="3" max="3" width="10.5703125" customWidth="1"/>
    <col min="4" max="4" width="11.42578125" customWidth="1"/>
    <col min="5" max="5" width="12.28515625" customWidth="1"/>
    <col min="6" max="7" width="9.7109375" customWidth="1"/>
    <col min="8" max="8" width="9.28515625" customWidth="1"/>
    <col min="9" max="12" width="9.7109375" customWidth="1"/>
    <col min="13" max="13" width="10.42578125" customWidth="1"/>
    <col min="14" max="18" width="10" customWidth="1"/>
    <col min="19" max="24" width="9.5703125" customWidth="1"/>
    <col min="25" max="32" width="10.28515625" customWidth="1"/>
    <col min="33" max="39" width="9.42578125" customWidth="1"/>
    <col min="40" max="45" width="8.85546875" customWidth="1"/>
    <col min="46" max="50" width="9.85546875" customWidth="1"/>
    <col min="51" max="55" width="9.7109375" customWidth="1"/>
    <col min="56" max="59" width="9.42578125" customWidth="1"/>
    <col min="60" max="63" width="10" customWidth="1"/>
    <col min="64" max="67" width="9.7109375" customWidth="1"/>
    <col min="68" max="71" width="9.28515625" customWidth="1"/>
    <col min="72" max="75" width="9.7109375" customWidth="1"/>
    <col min="76" max="80" width="10" customWidth="1"/>
    <col min="81" max="83" width="9.5703125" customWidth="1"/>
    <col min="84" max="84" width="6" bestFit="1" customWidth="1"/>
    <col min="85" max="85" width="5.5703125" bestFit="1" customWidth="1"/>
    <col min="86" max="86" width="5.7109375" bestFit="1" customWidth="1"/>
  </cols>
  <sheetData>
    <row r="2" spans="1:86" ht="14.45" x14ac:dyDescent="0.3">
      <c r="A2" s="67" t="s">
        <v>142</v>
      </c>
    </row>
    <row r="3" spans="1:86" ht="14.45" x14ac:dyDescent="0.3">
      <c r="A3" s="225" t="s">
        <v>143</v>
      </c>
      <c r="B3" s="226">
        <v>41591</v>
      </c>
      <c r="C3" s="226">
        <v>41603</v>
      </c>
      <c r="D3" s="226">
        <v>41606</v>
      </c>
      <c r="E3" s="226">
        <v>41618</v>
      </c>
      <c r="F3" s="226">
        <v>41621</v>
      </c>
      <c r="G3" s="226">
        <v>41627</v>
      </c>
      <c r="H3" s="226">
        <v>41660</v>
      </c>
      <c r="I3" s="226">
        <v>41674</v>
      </c>
      <c r="J3" s="226">
        <v>41676</v>
      </c>
      <c r="K3" s="226">
        <v>41677</v>
      </c>
      <c r="L3" s="226">
        <v>41688</v>
      </c>
      <c r="M3" s="226">
        <v>41696</v>
      </c>
      <c r="N3" s="226">
        <v>41711</v>
      </c>
      <c r="O3" s="226">
        <v>41712</v>
      </c>
      <c r="P3" s="226">
        <v>41718</v>
      </c>
      <c r="Q3" s="226">
        <v>41724</v>
      </c>
      <c r="R3" s="226">
        <v>41729</v>
      </c>
      <c r="S3" s="226">
        <v>41730</v>
      </c>
      <c r="T3" s="226">
        <v>41736</v>
      </c>
      <c r="U3" s="226">
        <v>41737</v>
      </c>
      <c r="V3" s="226">
        <v>41743</v>
      </c>
      <c r="W3" s="226">
        <v>41757</v>
      </c>
      <c r="X3" s="226">
        <v>41758</v>
      </c>
      <c r="Y3" s="226">
        <v>41764</v>
      </c>
      <c r="Z3" s="226">
        <v>41765</v>
      </c>
      <c r="AA3" s="226">
        <v>41767</v>
      </c>
      <c r="AB3" s="226">
        <v>41771</v>
      </c>
      <c r="AC3" s="226">
        <v>41773</v>
      </c>
      <c r="AD3" s="226">
        <v>41778</v>
      </c>
      <c r="AE3" s="226">
        <v>41785</v>
      </c>
      <c r="AF3" s="226">
        <v>41788</v>
      </c>
      <c r="AG3" s="226">
        <v>41792</v>
      </c>
      <c r="AH3" s="226">
        <v>41799</v>
      </c>
      <c r="AI3" s="226">
        <v>41806</v>
      </c>
      <c r="AJ3" s="226">
        <v>41807</v>
      </c>
      <c r="AK3" s="226">
        <v>41808</v>
      </c>
      <c r="AL3" s="226">
        <v>41813</v>
      </c>
      <c r="AM3" s="226">
        <v>41820</v>
      </c>
      <c r="AN3" s="226">
        <v>41827</v>
      </c>
      <c r="AO3" s="226">
        <v>41828</v>
      </c>
      <c r="AP3" s="226">
        <v>41834</v>
      </c>
      <c r="AQ3" s="226">
        <v>41836</v>
      </c>
      <c r="AR3" s="226">
        <v>41841</v>
      </c>
      <c r="AS3" s="226">
        <v>41848</v>
      </c>
      <c r="AT3" s="226">
        <v>41855</v>
      </c>
      <c r="AU3" s="226">
        <v>41862</v>
      </c>
      <c r="AV3" s="226">
        <v>41864</v>
      </c>
      <c r="AW3" s="226">
        <v>41869</v>
      </c>
      <c r="AX3" s="226">
        <v>41876</v>
      </c>
      <c r="AY3" s="226">
        <v>41883</v>
      </c>
      <c r="AZ3" s="226">
        <v>41890</v>
      </c>
      <c r="BA3" s="226">
        <v>41897</v>
      </c>
      <c r="BB3" s="226">
        <v>41904</v>
      </c>
      <c r="BC3" s="226">
        <v>41911</v>
      </c>
      <c r="BD3" s="226">
        <v>41918</v>
      </c>
      <c r="BE3" s="226">
        <v>41925</v>
      </c>
      <c r="BF3" s="226">
        <v>41932</v>
      </c>
      <c r="BG3" s="226">
        <v>41939</v>
      </c>
      <c r="BH3" s="226">
        <v>41948</v>
      </c>
      <c r="BI3" s="226">
        <v>41953</v>
      </c>
      <c r="BJ3" s="226">
        <v>41960</v>
      </c>
      <c r="BK3" s="226">
        <v>41967</v>
      </c>
      <c r="BL3" s="226">
        <v>41974</v>
      </c>
      <c r="BM3" s="226">
        <v>41981</v>
      </c>
      <c r="BN3" s="226">
        <v>41988</v>
      </c>
      <c r="BO3" s="226">
        <v>41997</v>
      </c>
      <c r="BP3" s="226">
        <v>42009</v>
      </c>
      <c r="BQ3" s="226">
        <v>42016</v>
      </c>
      <c r="BR3" s="226">
        <v>42023</v>
      </c>
      <c r="BS3" s="226">
        <v>42031</v>
      </c>
      <c r="BT3" s="226">
        <v>42037</v>
      </c>
      <c r="BU3" s="226">
        <v>42044</v>
      </c>
      <c r="BV3" s="226">
        <v>42051</v>
      </c>
      <c r="BW3" s="226">
        <v>42058</v>
      </c>
      <c r="BX3" s="226">
        <v>42065</v>
      </c>
      <c r="BY3" s="226">
        <v>42073</v>
      </c>
      <c r="BZ3" s="226">
        <v>42079</v>
      </c>
      <c r="CA3" s="226">
        <v>42086</v>
      </c>
      <c r="CB3" s="226">
        <v>42088</v>
      </c>
      <c r="CC3" s="226">
        <v>42095</v>
      </c>
      <c r="CD3" s="226">
        <v>42101</v>
      </c>
      <c r="CE3" s="226">
        <v>42107</v>
      </c>
      <c r="CF3" s="226" t="s">
        <v>1</v>
      </c>
      <c r="CG3" s="227" t="s">
        <v>144</v>
      </c>
      <c r="CH3" s="228"/>
    </row>
    <row r="4" spans="1:86" ht="14.45" x14ac:dyDescent="0.3">
      <c r="A4" s="229" t="s">
        <v>145</v>
      </c>
      <c r="B4" s="230">
        <v>21</v>
      </c>
      <c r="C4" s="230">
        <v>44</v>
      </c>
      <c r="D4" s="230"/>
      <c r="E4" s="230">
        <v>18</v>
      </c>
      <c r="F4" s="230"/>
      <c r="G4" s="230">
        <v>14</v>
      </c>
      <c r="H4" s="230">
        <v>62</v>
      </c>
      <c r="I4" s="230">
        <v>2</v>
      </c>
      <c r="J4" s="230">
        <v>79</v>
      </c>
      <c r="K4" s="230">
        <v>4</v>
      </c>
      <c r="L4" s="230">
        <v>26</v>
      </c>
      <c r="M4" s="230">
        <v>44</v>
      </c>
      <c r="N4" s="230">
        <v>22</v>
      </c>
      <c r="O4" s="230">
        <v>6</v>
      </c>
      <c r="P4" s="230">
        <v>32</v>
      </c>
      <c r="Q4" s="230">
        <v>32</v>
      </c>
      <c r="R4" s="230">
        <v>1</v>
      </c>
      <c r="S4" s="230">
        <v>36</v>
      </c>
      <c r="T4" s="230">
        <v>40</v>
      </c>
      <c r="U4" s="230">
        <v>4</v>
      </c>
      <c r="V4" s="230">
        <v>11</v>
      </c>
      <c r="W4" s="230">
        <v>41</v>
      </c>
      <c r="X4" s="230"/>
      <c r="Y4" s="230">
        <v>6</v>
      </c>
      <c r="Z4" s="230"/>
      <c r="AA4" s="230">
        <v>1</v>
      </c>
      <c r="AB4" s="230">
        <v>13</v>
      </c>
      <c r="AC4" s="230">
        <v>1</v>
      </c>
      <c r="AD4" s="230">
        <v>30</v>
      </c>
      <c r="AE4" s="230">
        <v>12</v>
      </c>
      <c r="AF4" s="230">
        <v>1</v>
      </c>
      <c r="AG4" s="230">
        <v>18</v>
      </c>
      <c r="AH4" s="230">
        <v>41</v>
      </c>
      <c r="AI4" s="230">
        <v>7</v>
      </c>
      <c r="AJ4" s="230"/>
      <c r="AK4" s="230">
        <v>1</v>
      </c>
      <c r="AL4" s="230">
        <v>20</v>
      </c>
      <c r="AM4" s="230">
        <v>9</v>
      </c>
      <c r="AN4" s="230">
        <v>8</v>
      </c>
      <c r="AO4" s="230"/>
      <c r="AP4" s="230">
        <v>8</v>
      </c>
      <c r="AQ4" s="230">
        <v>2</v>
      </c>
      <c r="AR4" s="230">
        <v>19</v>
      </c>
      <c r="AS4" s="230">
        <v>16</v>
      </c>
      <c r="AT4" s="230">
        <v>15</v>
      </c>
      <c r="AU4" s="230">
        <v>49</v>
      </c>
      <c r="AV4" s="230">
        <v>5</v>
      </c>
      <c r="AW4" s="230">
        <v>71</v>
      </c>
      <c r="AX4" s="230">
        <v>13</v>
      </c>
      <c r="AY4" s="230">
        <v>29</v>
      </c>
      <c r="AZ4" s="230">
        <v>17</v>
      </c>
      <c r="BA4" s="230">
        <v>28</v>
      </c>
      <c r="BB4" s="230">
        <v>32</v>
      </c>
      <c r="BC4" s="230">
        <v>13</v>
      </c>
      <c r="BD4" s="230">
        <v>32</v>
      </c>
      <c r="BE4" s="230">
        <v>32</v>
      </c>
      <c r="BF4" s="230">
        <v>31</v>
      </c>
      <c r="BG4" s="230">
        <v>27</v>
      </c>
      <c r="BH4" s="230">
        <v>70</v>
      </c>
      <c r="BI4" s="230">
        <v>23</v>
      </c>
      <c r="BJ4" s="230">
        <v>13</v>
      </c>
      <c r="BK4" s="230">
        <v>32</v>
      </c>
      <c r="BL4" s="230">
        <v>52</v>
      </c>
      <c r="BM4" s="230">
        <v>50</v>
      </c>
      <c r="BN4" s="230">
        <v>26</v>
      </c>
      <c r="BO4" s="230">
        <v>41</v>
      </c>
      <c r="BP4" s="230">
        <v>250</v>
      </c>
      <c r="BQ4" s="230">
        <v>15</v>
      </c>
      <c r="BR4" s="230">
        <v>96</v>
      </c>
      <c r="BS4" s="230">
        <v>9</v>
      </c>
      <c r="BT4" s="230">
        <v>57</v>
      </c>
      <c r="BU4" s="230">
        <v>22</v>
      </c>
      <c r="BV4" s="230">
        <v>15</v>
      </c>
      <c r="BW4" s="230">
        <v>59</v>
      </c>
      <c r="BX4" s="230">
        <v>26</v>
      </c>
      <c r="BY4" s="230">
        <v>72</v>
      </c>
      <c r="BZ4" s="230">
        <v>36</v>
      </c>
      <c r="CA4" s="230">
        <v>35</v>
      </c>
      <c r="CB4" s="230">
        <v>24</v>
      </c>
      <c r="CC4" s="230">
        <v>38</v>
      </c>
      <c r="CD4" s="230">
        <v>42</v>
      </c>
      <c r="CE4" s="230">
        <v>33</v>
      </c>
      <c r="CF4" s="231">
        <v>2282</v>
      </c>
      <c r="CG4" s="232">
        <f>CF4/CF13</f>
        <v>6.4158794421952312E-2</v>
      </c>
      <c r="CH4" s="233" t="s">
        <v>145</v>
      </c>
    </row>
    <row r="5" spans="1:86" ht="14.45" x14ac:dyDescent="0.3">
      <c r="A5" s="229" t="s">
        <v>146</v>
      </c>
      <c r="B5" s="230">
        <v>17</v>
      </c>
      <c r="C5" s="230">
        <v>25</v>
      </c>
      <c r="D5" s="230"/>
      <c r="E5" s="230">
        <v>21</v>
      </c>
      <c r="F5" s="230"/>
      <c r="G5" s="230">
        <v>16</v>
      </c>
      <c r="H5" s="230">
        <v>44</v>
      </c>
      <c r="I5" s="230">
        <v>1</v>
      </c>
      <c r="J5" s="230">
        <v>31</v>
      </c>
      <c r="K5" s="230">
        <v>6</v>
      </c>
      <c r="L5" s="230">
        <v>18</v>
      </c>
      <c r="M5" s="230">
        <v>34</v>
      </c>
      <c r="N5" s="230">
        <v>17</v>
      </c>
      <c r="O5" s="230"/>
      <c r="P5" s="230">
        <v>6</v>
      </c>
      <c r="Q5" s="230">
        <v>9</v>
      </c>
      <c r="R5" s="230"/>
      <c r="S5" s="230">
        <v>16</v>
      </c>
      <c r="T5" s="230">
        <v>19</v>
      </c>
      <c r="U5" s="230"/>
      <c r="V5" s="230">
        <v>9</v>
      </c>
      <c r="W5" s="230">
        <v>25</v>
      </c>
      <c r="X5" s="230"/>
      <c r="Y5" s="230">
        <v>9</v>
      </c>
      <c r="Z5" s="230">
        <v>1</v>
      </c>
      <c r="AA5" s="230"/>
      <c r="AB5" s="230">
        <v>2</v>
      </c>
      <c r="AC5" s="230"/>
      <c r="AD5" s="230">
        <v>9</v>
      </c>
      <c r="AE5" s="230">
        <v>4</v>
      </c>
      <c r="AF5" s="230"/>
      <c r="AG5" s="230">
        <v>6</v>
      </c>
      <c r="AH5" s="230">
        <v>31</v>
      </c>
      <c r="AI5" s="230">
        <v>4</v>
      </c>
      <c r="AJ5" s="230"/>
      <c r="AK5" s="230"/>
      <c r="AL5" s="230">
        <v>14</v>
      </c>
      <c r="AM5" s="230">
        <v>4</v>
      </c>
      <c r="AN5" s="230">
        <v>5</v>
      </c>
      <c r="AO5" s="230"/>
      <c r="AP5" s="230">
        <v>35</v>
      </c>
      <c r="AQ5" s="230"/>
      <c r="AR5" s="230">
        <v>2</v>
      </c>
      <c r="AS5" s="230"/>
      <c r="AT5" s="230">
        <v>13</v>
      </c>
      <c r="AU5" s="230">
        <v>20</v>
      </c>
      <c r="AV5" s="230">
        <v>2</v>
      </c>
      <c r="AW5" s="230">
        <v>11</v>
      </c>
      <c r="AX5" s="230">
        <v>16</v>
      </c>
      <c r="AY5" s="230">
        <v>31</v>
      </c>
      <c r="AZ5" s="230">
        <v>6</v>
      </c>
      <c r="BA5" s="230">
        <v>9</v>
      </c>
      <c r="BB5" s="230">
        <v>13</v>
      </c>
      <c r="BC5" s="230">
        <v>9</v>
      </c>
      <c r="BD5" s="230">
        <v>15</v>
      </c>
      <c r="BE5" s="230">
        <v>29</v>
      </c>
      <c r="BF5" s="230">
        <v>23</v>
      </c>
      <c r="BG5" s="230">
        <v>10</v>
      </c>
      <c r="BH5" s="230">
        <v>23</v>
      </c>
      <c r="BI5" s="230">
        <v>11</v>
      </c>
      <c r="BJ5" s="230">
        <v>23</v>
      </c>
      <c r="BK5" s="230">
        <v>11</v>
      </c>
      <c r="BL5" s="230">
        <v>29</v>
      </c>
      <c r="BM5" s="230">
        <v>23</v>
      </c>
      <c r="BN5" s="230">
        <v>13</v>
      </c>
      <c r="BO5" s="230">
        <v>22</v>
      </c>
      <c r="BP5" s="230">
        <v>134</v>
      </c>
      <c r="BQ5" s="230">
        <v>17</v>
      </c>
      <c r="BR5" s="230">
        <v>64</v>
      </c>
      <c r="BS5" s="230">
        <v>30</v>
      </c>
      <c r="BT5" s="230">
        <v>12</v>
      </c>
      <c r="BU5" s="230">
        <v>4</v>
      </c>
      <c r="BV5" s="230">
        <v>18</v>
      </c>
      <c r="BW5" s="230">
        <v>20</v>
      </c>
      <c r="BX5" s="230">
        <v>16</v>
      </c>
      <c r="BY5" s="230">
        <v>26</v>
      </c>
      <c r="BZ5" s="230">
        <v>23</v>
      </c>
      <c r="CA5" s="230">
        <v>26</v>
      </c>
      <c r="CB5" s="230">
        <v>1</v>
      </c>
      <c r="CC5" s="230">
        <v>16</v>
      </c>
      <c r="CD5" s="230">
        <v>30</v>
      </c>
      <c r="CE5" s="230">
        <v>7</v>
      </c>
      <c r="CF5" s="231">
        <v>1246</v>
      </c>
      <c r="CG5" s="232">
        <f>CF5/CF13</f>
        <v>3.5031488978857397E-2</v>
      </c>
      <c r="CH5" s="233" t="s">
        <v>146</v>
      </c>
    </row>
    <row r="6" spans="1:86" ht="14.45" x14ac:dyDescent="0.3">
      <c r="A6" s="229" t="s">
        <v>147</v>
      </c>
      <c r="B6" s="230">
        <v>151</v>
      </c>
      <c r="C6" s="230"/>
      <c r="D6" s="230">
        <v>147</v>
      </c>
      <c r="E6" s="230">
        <v>72</v>
      </c>
      <c r="F6" s="230"/>
      <c r="G6" s="230">
        <v>61</v>
      </c>
      <c r="H6" s="230">
        <v>215</v>
      </c>
      <c r="I6" s="230">
        <v>17</v>
      </c>
      <c r="J6" s="230">
        <v>229</v>
      </c>
      <c r="K6" s="230">
        <v>90</v>
      </c>
      <c r="L6" s="230">
        <v>146</v>
      </c>
      <c r="M6" s="230">
        <v>150</v>
      </c>
      <c r="N6" s="230">
        <v>49</v>
      </c>
      <c r="O6" s="230">
        <v>22</v>
      </c>
      <c r="P6" s="230">
        <v>105</v>
      </c>
      <c r="Q6" s="230">
        <v>231</v>
      </c>
      <c r="R6" s="230">
        <v>23</v>
      </c>
      <c r="S6" s="230">
        <v>80</v>
      </c>
      <c r="T6" s="230">
        <v>78</v>
      </c>
      <c r="U6" s="230">
        <v>16</v>
      </c>
      <c r="V6" s="230">
        <v>46</v>
      </c>
      <c r="W6" s="230">
        <v>118</v>
      </c>
      <c r="X6" s="230">
        <v>11</v>
      </c>
      <c r="Y6" s="230">
        <v>32</v>
      </c>
      <c r="Z6" s="230">
        <v>14</v>
      </c>
      <c r="AA6" s="230">
        <v>15</v>
      </c>
      <c r="AB6" s="230">
        <v>23</v>
      </c>
      <c r="AC6" s="230">
        <v>7</v>
      </c>
      <c r="AD6" s="230">
        <v>73</v>
      </c>
      <c r="AE6" s="230">
        <v>39</v>
      </c>
      <c r="AF6" s="230">
        <v>6</v>
      </c>
      <c r="AG6" s="230">
        <v>61</v>
      </c>
      <c r="AH6" s="230">
        <v>155</v>
      </c>
      <c r="AI6" s="230">
        <v>33</v>
      </c>
      <c r="AJ6" s="230">
        <v>5</v>
      </c>
      <c r="AK6" s="230">
        <v>20</v>
      </c>
      <c r="AL6" s="230">
        <v>53</v>
      </c>
      <c r="AM6" s="230">
        <v>25</v>
      </c>
      <c r="AN6" s="230">
        <v>32</v>
      </c>
      <c r="AO6" s="230">
        <v>9</v>
      </c>
      <c r="AP6" s="230">
        <v>36</v>
      </c>
      <c r="AQ6" s="230">
        <v>8</v>
      </c>
      <c r="AR6" s="230">
        <v>42</v>
      </c>
      <c r="AS6" s="230">
        <v>28</v>
      </c>
      <c r="AT6" s="230">
        <v>44</v>
      </c>
      <c r="AU6" s="230">
        <v>107</v>
      </c>
      <c r="AV6" s="230">
        <v>23</v>
      </c>
      <c r="AW6" s="230">
        <v>248</v>
      </c>
      <c r="AX6" s="230">
        <v>27</v>
      </c>
      <c r="AY6" s="230">
        <v>107</v>
      </c>
      <c r="AZ6" s="230">
        <v>55</v>
      </c>
      <c r="BA6" s="230">
        <v>148</v>
      </c>
      <c r="BB6" s="230">
        <v>62</v>
      </c>
      <c r="BC6" s="230">
        <v>69</v>
      </c>
      <c r="BD6" s="230">
        <v>51</v>
      </c>
      <c r="BE6" s="230">
        <v>68</v>
      </c>
      <c r="BF6" s="230">
        <v>72</v>
      </c>
      <c r="BG6" s="230">
        <v>72</v>
      </c>
      <c r="BH6" s="230">
        <v>106</v>
      </c>
      <c r="BI6" s="230">
        <v>94</v>
      </c>
      <c r="BJ6" s="230">
        <v>60</v>
      </c>
      <c r="BK6" s="230">
        <v>86</v>
      </c>
      <c r="BL6" s="230">
        <v>46</v>
      </c>
      <c r="BM6" s="230">
        <v>151</v>
      </c>
      <c r="BN6" s="230">
        <v>58</v>
      </c>
      <c r="BO6" s="230">
        <v>127</v>
      </c>
      <c r="BP6" s="230">
        <v>587</v>
      </c>
      <c r="BQ6" s="230">
        <v>40</v>
      </c>
      <c r="BR6" s="230">
        <v>169</v>
      </c>
      <c r="BS6" s="230">
        <v>64</v>
      </c>
      <c r="BT6" s="230">
        <v>92</v>
      </c>
      <c r="BU6" s="230">
        <v>52</v>
      </c>
      <c r="BV6" s="230">
        <v>38</v>
      </c>
      <c r="BW6" s="230">
        <v>127</v>
      </c>
      <c r="BX6" s="230">
        <v>90</v>
      </c>
      <c r="BY6" s="230">
        <v>64</v>
      </c>
      <c r="BZ6" s="230">
        <v>85</v>
      </c>
      <c r="CA6" s="230">
        <v>161</v>
      </c>
      <c r="CB6" s="230">
        <v>20</v>
      </c>
      <c r="CC6" s="230">
        <v>77</v>
      </c>
      <c r="CD6" s="230">
        <v>41</v>
      </c>
      <c r="CE6" s="230">
        <v>62</v>
      </c>
      <c r="CF6" s="231">
        <v>6423</v>
      </c>
      <c r="CG6" s="232">
        <f>CF6/CF13</f>
        <v>0.18058367071524967</v>
      </c>
      <c r="CH6" s="233" t="s">
        <v>147</v>
      </c>
    </row>
    <row r="7" spans="1:86" ht="14.45" x14ac:dyDescent="0.3">
      <c r="A7" s="229" t="s">
        <v>148</v>
      </c>
      <c r="B7" s="230">
        <v>278</v>
      </c>
      <c r="C7" s="230"/>
      <c r="D7" s="230">
        <v>384</v>
      </c>
      <c r="E7" s="230">
        <v>119</v>
      </c>
      <c r="F7" s="230"/>
      <c r="G7" s="230">
        <v>119</v>
      </c>
      <c r="H7" s="230">
        <v>364</v>
      </c>
      <c r="I7" s="230">
        <v>116</v>
      </c>
      <c r="J7" s="230">
        <v>332</v>
      </c>
      <c r="K7" s="230">
        <v>26</v>
      </c>
      <c r="L7" s="230">
        <v>184</v>
      </c>
      <c r="M7" s="230">
        <v>369</v>
      </c>
      <c r="N7" s="230">
        <v>140</v>
      </c>
      <c r="O7" s="230">
        <v>17</v>
      </c>
      <c r="P7" s="230">
        <v>125</v>
      </c>
      <c r="Q7" s="230">
        <v>103</v>
      </c>
      <c r="R7" s="230">
        <v>8</v>
      </c>
      <c r="S7" s="230">
        <v>100</v>
      </c>
      <c r="T7" s="230">
        <v>103</v>
      </c>
      <c r="U7" s="230">
        <v>4</v>
      </c>
      <c r="V7" s="230">
        <v>94</v>
      </c>
      <c r="W7" s="230">
        <v>272</v>
      </c>
      <c r="X7" s="230">
        <v>15</v>
      </c>
      <c r="Y7" s="230">
        <v>72</v>
      </c>
      <c r="Z7" s="230">
        <v>11</v>
      </c>
      <c r="AA7" s="230">
        <v>8</v>
      </c>
      <c r="AB7" s="230">
        <v>45</v>
      </c>
      <c r="AC7" s="230"/>
      <c r="AD7" s="230">
        <v>139</v>
      </c>
      <c r="AE7" s="230">
        <v>72</v>
      </c>
      <c r="AF7" s="230">
        <v>9</v>
      </c>
      <c r="AG7" s="230">
        <v>102</v>
      </c>
      <c r="AH7" s="230">
        <v>217</v>
      </c>
      <c r="AI7" s="230">
        <v>48</v>
      </c>
      <c r="AJ7" s="230">
        <v>1</v>
      </c>
      <c r="AK7" s="230">
        <v>14</v>
      </c>
      <c r="AL7" s="230">
        <v>121</v>
      </c>
      <c r="AM7" s="230">
        <v>72</v>
      </c>
      <c r="AN7" s="230">
        <v>97</v>
      </c>
      <c r="AO7" s="230">
        <v>1</v>
      </c>
      <c r="AP7" s="230">
        <v>70</v>
      </c>
      <c r="AQ7" s="230">
        <v>15</v>
      </c>
      <c r="AR7" s="230">
        <v>89</v>
      </c>
      <c r="AS7" s="230">
        <v>57</v>
      </c>
      <c r="AT7" s="230">
        <v>92</v>
      </c>
      <c r="AU7" s="230">
        <v>251</v>
      </c>
      <c r="AV7" s="230">
        <v>23</v>
      </c>
      <c r="AW7" s="230">
        <v>206</v>
      </c>
      <c r="AX7" s="230">
        <v>49</v>
      </c>
      <c r="AY7" s="230">
        <v>201</v>
      </c>
      <c r="AZ7" s="230">
        <v>113</v>
      </c>
      <c r="BA7" s="230">
        <v>171</v>
      </c>
      <c r="BB7" s="230">
        <v>180</v>
      </c>
      <c r="BC7" s="230">
        <v>236</v>
      </c>
      <c r="BD7" s="230">
        <v>82</v>
      </c>
      <c r="BE7" s="230">
        <v>231</v>
      </c>
      <c r="BF7" s="230">
        <v>163</v>
      </c>
      <c r="BG7" s="230">
        <v>117</v>
      </c>
      <c r="BH7" s="230">
        <v>274</v>
      </c>
      <c r="BI7" s="230">
        <v>229</v>
      </c>
      <c r="BJ7" s="230">
        <v>157</v>
      </c>
      <c r="BK7" s="230">
        <v>162</v>
      </c>
      <c r="BL7" s="230">
        <v>102</v>
      </c>
      <c r="BM7" s="230">
        <v>200</v>
      </c>
      <c r="BN7" s="230">
        <v>161</v>
      </c>
      <c r="BO7" s="230">
        <v>219</v>
      </c>
      <c r="BP7" s="230">
        <v>690</v>
      </c>
      <c r="BQ7" s="230">
        <v>117</v>
      </c>
      <c r="BR7" s="230">
        <v>498</v>
      </c>
      <c r="BS7" s="230">
        <v>301</v>
      </c>
      <c r="BT7" s="230">
        <v>203</v>
      </c>
      <c r="BU7" s="230">
        <v>94</v>
      </c>
      <c r="BV7" s="230">
        <v>116</v>
      </c>
      <c r="BW7" s="230">
        <v>269</v>
      </c>
      <c r="BX7" s="230">
        <v>146</v>
      </c>
      <c r="BY7" s="230">
        <v>228</v>
      </c>
      <c r="BZ7" s="230">
        <v>324</v>
      </c>
      <c r="CA7" s="230">
        <v>237</v>
      </c>
      <c r="CB7" s="230">
        <v>63</v>
      </c>
      <c r="CC7" s="230">
        <v>158</v>
      </c>
      <c r="CD7" s="230">
        <v>98</v>
      </c>
      <c r="CE7" s="230">
        <v>91</v>
      </c>
      <c r="CF7" s="231">
        <v>11784</v>
      </c>
      <c r="CG7" s="232">
        <f>CF7/CF13</f>
        <v>0.33130904183535764</v>
      </c>
      <c r="CH7" s="233" t="s">
        <v>148</v>
      </c>
    </row>
    <row r="8" spans="1:86" ht="14.45" x14ac:dyDescent="0.3">
      <c r="A8" s="229" t="s">
        <v>149</v>
      </c>
      <c r="B8" s="230">
        <v>6</v>
      </c>
      <c r="C8" s="230">
        <v>24</v>
      </c>
      <c r="D8" s="230"/>
      <c r="E8" s="230">
        <v>10</v>
      </c>
      <c r="F8" s="230"/>
      <c r="G8" s="230">
        <v>2</v>
      </c>
      <c r="H8" s="230">
        <v>31</v>
      </c>
      <c r="I8" s="230">
        <v>1</v>
      </c>
      <c r="J8" s="230">
        <v>23</v>
      </c>
      <c r="K8" s="230">
        <v>4</v>
      </c>
      <c r="L8" s="230">
        <v>14</v>
      </c>
      <c r="M8" s="230">
        <v>27</v>
      </c>
      <c r="N8" s="230">
        <v>10</v>
      </c>
      <c r="O8" s="230">
        <v>5</v>
      </c>
      <c r="P8" s="230">
        <v>9</v>
      </c>
      <c r="Q8" s="230">
        <v>6</v>
      </c>
      <c r="R8" s="230"/>
      <c r="S8" s="230">
        <v>14</v>
      </c>
      <c r="T8" s="230">
        <v>14</v>
      </c>
      <c r="U8" s="230"/>
      <c r="V8" s="230">
        <v>7</v>
      </c>
      <c r="W8" s="230">
        <v>36</v>
      </c>
      <c r="X8" s="230"/>
      <c r="Y8" s="230">
        <v>15</v>
      </c>
      <c r="Z8" s="230"/>
      <c r="AA8" s="230">
        <v>1</v>
      </c>
      <c r="AB8" s="230">
        <v>3</v>
      </c>
      <c r="AC8" s="230"/>
      <c r="AD8" s="230">
        <v>22</v>
      </c>
      <c r="AE8" s="230">
        <v>9</v>
      </c>
      <c r="AF8" s="230"/>
      <c r="AG8" s="230">
        <v>23</v>
      </c>
      <c r="AH8" s="230">
        <v>16</v>
      </c>
      <c r="AI8" s="230">
        <v>7</v>
      </c>
      <c r="AJ8" s="230"/>
      <c r="AK8" s="230">
        <v>3</v>
      </c>
      <c r="AL8" s="230">
        <v>14</v>
      </c>
      <c r="AM8" s="230">
        <v>30</v>
      </c>
      <c r="AN8" s="230">
        <v>14</v>
      </c>
      <c r="AO8" s="230"/>
      <c r="AP8" s="230">
        <v>10</v>
      </c>
      <c r="AQ8" s="230">
        <v>1</v>
      </c>
      <c r="AR8" s="230">
        <v>10</v>
      </c>
      <c r="AS8" s="230">
        <v>7</v>
      </c>
      <c r="AT8" s="230">
        <v>15</v>
      </c>
      <c r="AU8" s="230">
        <v>43</v>
      </c>
      <c r="AV8" s="230">
        <v>2</v>
      </c>
      <c r="AW8" s="230">
        <v>53</v>
      </c>
      <c r="AX8" s="230">
        <v>12</v>
      </c>
      <c r="AY8" s="230">
        <v>29</v>
      </c>
      <c r="AZ8" s="230">
        <v>29</v>
      </c>
      <c r="BA8" s="230">
        <v>20</v>
      </c>
      <c r="BB8" s="230">
        <v>27</v>
      </c>
      <c r="BC8" s="230">
        <v>22</v>
      </c>
      <c r="BD8" s="230">
        <v>8</v>
      </c>
      <c r="BE8" s="230">
        <v>40</v>
      </c>
      <c r="BF8" s="230">
        <v>37</v>
      </c>
      <c r="BG8" s="230">
        <v>36</v>
      </c>
      <c r="BH8" s="230">
        <v>40</v>
      </c>
      <c r="BI8" s="230">
        <v>25</v>
      </c>
      <c r="BJ8" s="230">
        <v>10</v>
      </c>
      <c r="BK8" s="230">
        <v>48</v>
      </c>
      <c r="BL8" s="230">
        <v>24</v>
      </c>
      <c r="BM8" s="230">
        <v>22</v>
      </c>
      <c r="BN8" s="230">
        <v>26</v>
      </c>
      <c r="BO8" s="230">
        <v>42</v>
      </c>
      <c r="BP8" s="230">
        <v>131</v>
      </c>
      <c r="BQ8" s="230">
        <v>17</v>
      </c>
      <c r="BR8" s="230">
        <v>133</v>
      </c>
      <c r="BS8" s="230">
        <v>17</v>
      </c>
      <c r="BT8" s="230">
        <v>47</v>
      </c>
      <c r="BU8" s="230">
        <v>21</v>
      </c>
      <c r="BV8" s="230">
        <v>25</v>
      </c>
      <c r="BW8" s="230">
        <v>57</v>
      </c>
      <c r="BX8" s="230">
        <v>48</v>
      </c>
      <c r="BY8" s="230">
        <v>41</v>
      </c>
      <c r="BZ8" s="230">
        <v>35</v>
      </c>
      <c r="CA8" s="230">
        <v>30</v>
      </c>
      <c r="CB8" s="230">
        <v>7</v>
      </c>
      <c r="CC8" s="230">
        <v>35</v>
      </c>
      <c r="CD8" s="230">
        <v>57</v>
      </c>
      <c r="CE8" s="230">
        <v>29</v>
      </c>
      <c r="CF8" s="231">
        <v>1768</v>
      </c>
      <c r="CG8" s="232">
        <f>CF8/CF13</f>
        <v>4.9707602339181284E-2</v>
      </c>
      <c r="CH8" s="233" t="s">
        <v>149</v>
      </c>
    </row>
    <row r="9" spans="1:86" ht="14.45" x14ac:dyDescent="0.3">
      <c r="A9" s="229" t="s">
        <v>150</v>
      </c>
      <c r="B9" s="230">
        <v>2</v>
      </c>
      <c r="C9" s="230"/>
      <c r="D9" s="230"/>
      <c r="E9" s="230">
        <v>1</v>
      </c>
      <c r="F9" s="230"/>
      <c r="G9" s="230">
        <v>5</v>
      </c>
      <c r="H9" s="230">
        <v>9</v>
      </c>
      <c r="I9" s="230"/>
      <c r="J9" s="230">
        <v>3</v>
      </c>
      <c r="K9" s="230"/>
      <c r="L9" s="230">
        <v>5</v>
      </c>
      <c r="M9" s="230">
        <v>10</v>
      </c>
      <c r="N9" s="230">
        <v>1</v>
      </c>
      <c r="O9" s="230"/>
      <c r="P9" s="230">
        <v>3</v>
      </c>
      <c r="Q9" s="230">
        <v>2</v>
      </c>
      <c r="R9" s="230"/>
      <c r="S9" s="230">
        <v>2</v>
      </c>
      <c r="T9" s="230">
        <v>3</v>
      </c>
      <c r="U9" s="230"/>
      <c r="V9" s="230">
        <v>6</v>
      </c>
      <c r="W9" s="230">
        <v>8</v>
      </c>
      <c r="X9" s="230"/>
      <c r="Y9" s="230">
        <v>1</v>
      </c>
      <c r="Z9" s="230"/>
      <c r="AA9" s="230"/>
      <c r="AB9" s="230">
        <v>1</v>
      </c>
      <c r="AC9" s="230"/>
      <c r="AD9" s="230">
        <v>10</v>
      </c>
      <c r="AE9" s="230">
        <v>3</v>
      </c>
      <c r="AF9" s="230"/>
      <c r="AG9" s="230">
        <v>3</v>
      </c>
      <c r="AH9" s="230">
        <v>11</v>
      </c>
      <c r="AI9" s="230"/>
      <c r="AJ9" s="230"/>
      <c r="AK9" s="230"/>
      <c r="AL9" s="230">
        <v>1</v>
      </c>
      <c r="AM9" s="230">
        <v>3</v>
      </c>
      <c r="AN9" s="230">
        <v>4</v>
      </c>
      <c r="AO9" s="230"/>
      <c r="AP9" s="230">
        <v>3</v>
      </c>
      <c r="AQ9" s="230"/>
      <c r="AR9" s="230">
        <v>1</v>
      </c>
      <c r="AS9" s="230">
        <v>1</v>
      </c>
      <c r="AT9" s="230">
        <v>1</v>
      </c>
      <c r="AU9" s="230">
        <v>8</v>
      </c>
      <c r="AV9" s="230"/>
      <c r="AW9" s="230">
        <v>1</v>
      </c>
      <c r="AX9" s="230">
        <v>3</v>
      </c>
      <c r="AY9" s="230">
        <v>5</v>
      </c>
      <c r="AZ9" s="230">
        <v>7</v>
      </c>
      <c r="BA9" s="230">
        <v>9</v>
      </c>
      <c r="BB9" s="230">
        <v>4</v>
      </c>
      <c r="BC9" s="230">
        <v>3</v>
      </c>
      <c r="BD9" s="230">
        <v>5</v>
      </c>
      <c r="BE9" s="230">
        <v>2</v>
      </c>
      <c r="BF9" s="230">
        <v>13</v>
      </c>
      <c r="BG9" s="230">
        <v>2</v>
      </c>
      <c r="BH9" s="230">
        <v>9</v>
      </c>
      <c r="BI9" s="230">
        <v>6</v>
      </c>
      <c r="BJ9" s="230"/>
      <c r="BK9" s="230">
        <v>3</v>
      </c>
      <c r="BL9" s="230">
        <v>3</v>
      </c>
      <c r="BM9" s="230">
        <v>8</v>
      </c>
      <c r="BN9" s="230">
        <v>27</v>
      </c>
      <c r="BO9" s="230">
        <v>10</v>
      </c>
      <c r="BP9" s="230">
        <v>15</v>
      </c>
      <c r="BQ9" s="230">
        <v>3</v>
      </c>
      <c r="BR9" s="230">
        <v>21</v>
      </c>
      <c r="BS9" s="230">
        <v>12</v>
      </c>
      <c r="BT9" s="230">
        <v>4</v>
      </c>
      <c r="BU9" s="230">
        <v>6</v>
      </c>
      <c r="BV9" s="230">
        <v>2</v>
      </c>
      <c r="BW9" s="230">
        <v>21</v>
      </c>
      <c r="BX9" s="230">
        <v>10</v>
      </c>
      <c r="BY9" s="230">
        <v>7</v>
      </c>
      <c r="BZ9" s="230">
        <v>2</v>
      </c>
      <c r="CA9" s="230">
        <v>5</v>
      </c>
      <c r="CB9" s="230">
        <v>1</v>
      </c>
      <c r="CC9" s="230">
        <v>9</v>
      </c>
      <c r="CD9" s="230">
        <v>3</v>
      </c>
      <c r="CE9" s="230">
        <v>3</v>
      </c>
      <c r="CF9" s="231">
        <v>355</v>
      </c>
      <c r="CG9" s="232">
        <f>CF9/CF13</f>
        <v>9.9808816914080077E-3</v>
      </c>
      <c r="CH9" s="233" t="s">
        <v>150</v>
      </c>
    </row>
    <row r="10" spans="1:86" ht="14.45" x14ac:dyDescent="0.3">
      <c r="A10" s="229" t="s">
        <v>151</v>
      </c>
      <c r="B10" s="230">
        <v>378</v>
      </c>
      <c r="C10" s="230"/>
      <c r="D10" s="230">
        <v>182</v>
      </c>
      <c r="E10" s="230">
        <v>92</v>
      </c>
      <c r="F10" s="230">
        <v>1</v>
      </c>
      <c r="G10" s="230">
        <v>126</v>
      </c>
      <c r="H10" s="230">
        <v>264</v>
      </c>
      <c r="I10" s="230">
        <v>36</v>
      </c>
      <c r="J10" s="230">
        <v>240</v>
      </c>
      <c r="K10" s="230">
        <v>33</v>
      </c>
      <c r="L10" s="230">
        <v>123</v>
      </c>
      <c r="M10" s="230">
        <v>208</v>
      </c>
      <c r="N10" s="230">
        <v>63</v>
      </c>
      <c r="O10" s="230">
        <v>19</v>
      </c>
      <c r="P10" s="230">
        <v>95</v>
      </c>
      <c r="Q10" s="230">
        <v>34</v>
      </c>
      <c r="R10" s="230">
        <v>5</v>
      </c>
      <c r="S10" s="230">
        <v>56</v>
      </c>
      <c r="T10" s="230">
        <v>62</v>
      </c>
      <c r="U10" s="230">
        <v>4</v>
      </c>
      <c r="V10" s="230">
        <v>51</v>
      </c>
      <c r="W10" s="230">
        <v>144</v>
      </c>
      <c r="X10" s="230">
        <v>2</v>
      </c>
      <c r="Y10" s="230">
        <v>51</v>
      </c>
      <c r="Z10" s="230">
        <v>9</v>
      </c>
      <c r="AA10" s="230">
        <v>14</v>
      </c>
      <c r="AB10" s="230">
        <v>33</v>
      </c>
      <c r="AC10" s="230">
        <v>6</v>
      </c>
      <c r="AD10" s="230">
        <v>77</v>
      </c>
      <c r="AE10" s="230">
        <v>42</v>
      </c>
      <c r="AF10" s="230">
        <v>5</v>
      </c>
      <c r="AG10" s="230">
        <v>66</v>
      </c>
      <c r="AH10" s="230">
        <v>122</v>
      </c>
      <c r="AI10" s="230">
        <v>18</v>
      </c>
      <c r="AJ10" s="230">
        <v>5</v>
      </c>
      <c r="AK10" s="230">
        <v>12</v>
      </c>
      <c r="AL10" s="230">
        <v>64</v>
      </c>
      <c r="AM10" s="230">
        <v>16</v>
      </c>
      <c r="AN10" s="230">
        <v>66</v>
      </c>
      <c r="AO10" s="230">
        <v>7</v>
      </c>
      <c r="AP10" s="230">
        <v>38</v>
      </c>
      <c r="AQ10" s="230">
        <v>10</v>
      </c>
      <c r="AR10" s="230">
        <v>39</v>
      </c>
      <c r="AS10" s="230">
        <v>79</v>
      </c>
      <c r="AT10" s="230">
        <v>32</v>
      </c>
      <c r="AU10" s="230">
        <v>82</v>
      </c>
      <c r="AV10" s="230">
        <v>17</v>
      </c>
      <c r="AW10" s="230">
        <v>48</v>
      </c>
      <c r="AX10" s="230">
        <v>26</v>
      </c>
      <c r="AY10" s="230">
        <v>139</v>
      </c>
      <c r="AZ10" s="230">
        <v>95</v>
      </c>
      <c r="BA10" s="230">
        <v>128</v>
      </c>
      <c r="BB10" s="230">
        <v>158</v>
      </c>
      <c r="BC10" s="230">
        <v>83</v>
      </c>
      <c r="BD10" s="230">
        <v>35</v>
      </c>
      <c r="BE10" s="230">
        <v>65</v>
      </c>
      <c r="BF10" s="230">
        <v>111</v>
      </c>
      <c r="BG10" s="230">
        <v>87</v>
      </c>
      <c r="BH10" s="230">
        <v>189</v>
      </c>
      <c r="BI10" s="230">
        <v>132</v>
      </c>
      <c r="BJ10" s="230">
        <v>56</v>
      </c>
      <c r="BK10" s="230">
        <v>124</v>
      </c>
      <c r="BL10" s="230">
        <v>84</v>
      </c>
      <c r="BM10" s="230">
        <v>127</v>
      </c>
      <c r="BN10" s="230">
        <v>53</v>
      </c>
      <c r="BO10" s="230">
        <v>151</v>
      </c>
      <c r="BP10" s="230">
        <v>397</v>
      </c>
      <c r="BQ10" s="230">
        <v>70</v>
      </c>
      <c r="BR10" s="230">
        <v>214</v>
      </c>
      <c r="BS10" s="230">
        <v>65</v>
      </c>
      <c r="BT10" s="230">
        <v>93</v>
      </c>
      <c r="BU10" s="230">
        <v>67</v>
      </c>
      <c r="BV10" s="230">
        <v>83</v>
      </c>
      <c r="BW10" s="230">
        <v>104</v>
      </c>
      <c r="BX10" s="230">
        <v>59</v>
      </c>
      <c r="BY10" s="230">
        <v>124</v>
      </c>
      <c r="BZ10" s="230">
        <v>86</v>
      </c>
      <c r="CA10" s="230">
        <v>151</v>
      </c>
      <c r="CB10" s="230">
        <v>26</v>
      </c>
      <c r="CC10" s="230">
        <v>134</v>
      </c>
      <c r="CD10" s="230">
        <v>82</v>
      </c>
      <c r="CE10" s="230">
        <v>60</v>
      </c>
      <c r="CF10" s="231">
        <v>6834</v>
      </c>
      <c r="CG10" s="232">
        <f>CF10/CF13</f>
        <v>0.19213900134952766</v>
      </c>
      <c r="CH10" s="233" t="s">
        <v>151</v>
      </c>
    </row>
    <row r="11" spans="1:86" ht="14.45" x14ac:dyDescent="0.3">
      <c r="A11" s="229" t="s">
        <v>152</v>
      </c>
      <c r="B11" s="230">
        <v>16</v>
      </c>
      <c r="C11" s="230">
        <v>30</v>
      </c>
      <c r="D11" s="230"/>
      <c r="E11" s="230">
        <v>14</v>
      </c>
      <c r="F11" s="230"/>
      <c r="G11" s="230">
        <v>15</v>
      </c>
      <c r="H11" s="230">
        <v>72</v>
      </c>
      <c r="I11" s="230">
        <v>3</v>
      </c>
      <c r="J11" s="230">
        <v>69</v>
      </c>
      <c r="K11" s="230">
        <v>6</v>
      </c>
      <c r="L11" s="230">
        <v>27</v>
      </c>
      <c r="M11" s="230">
        <v>51</v>
      </c>
      <c r="N11" s="230">
        <v>12</v>
      </c>
      <c r="O11" s="230">
        <v>3</v>
      </c>
      <c r="P11" s="230">
        <v>28</v>
      </c>
      <c r="Q11" s="230">
        <v>28</v>
      </c>
      <c r="R11" s="230">
        <v>1</v>
      </c>
      <c r="S11" s="230">
        <v>22</v>
      </c>
      <c r="T11" s="230">
        <v>23</v>
      </c>
      <c r="U11" s="230">
        <v>3</v>
      </c>
      <c r="V11" s="230">
        <v>15</v>
      </c>
      <c r="W11" s="230">
        <v>37</v>
      </c>
      <c r="X11" s="230">
        <v>6</v>
      </c>
      <c r="Y11" s="230">
        <v>16</v>
      </c>
      <c r="Z11" s="230">
        <v>1</v>
      </c>
      <c r="AA11" s="230">
        <v>1</v>
      </c>
      <c r="AB11" s="230">
        <v>6</v>
      </c>
      <c r="AC11" s="230"/>
      <c r="AD11" s="230">
        <v>37</v>
      </c>
      <c r="AE11" s="230">
        <v>18</v>
      </c>
      <c r="AF11" s="230">
        <v>1</v>
      </c>
      <c r="AG11" s="230">
        <v>21</v>
      </c>
      <c r="AH11" s="230">
        <v>72</v>
      </c>
      <c r="AI11" s="230">
        <v>17</v>
      </c>
      <c r="AJ11" s="230">
        <v>2</v>
      </c>
      <c r="AK11" s="230">
        <v>4</v>
      </c>
      <c r="AL11" s="230">
        <v>17</v>
      </c>
      <c r="AM11" s="230">
        <v>12</v>
      </c>
      <c r="AN11" s="230">
        <v>16</v>
      </c>
      <c r="AO11" s="230">
        <v>2</v>
      </c>
      <c r="AP11" s="230">
        <v>11</v>
      </c>
      <c r="AQ11" s="230">
        <v>1</v>
      </c>
      <c r="AR11" s="230">
        <v>30</v>
      </c>
      <c r="AS11" s="230">
        <v>13</v>
      </c>
      <c r="AT11" s="230">
        <v>11</v>
      </c>
      <c r="AU11" s="230">
        <v>84</v>
      </c>
      <c r="AV11" s="230"/>
      <c r="AW11" s="230">
        <v>81</v>
      </c>
      <c r="AX11" s="230">
        <v>7</v>
      </c>
      <c r="AY11" s="230">
        <v>36</v>
      </c>
      <c r="AZ11" s="230">
        <v>22</v>
      </c>
      <c r="BA11" s="230">
        <v>32</v>
      </c>
      <c r="BB11" s="230">
        <v>37</v>
      </c>
      <c r="BC11" s="230">
        <v>28</v>
      </c>
      <c r="BD11" s="230">
        <v>24</v>
      </c>
      <c r="BE11" s="230">
        <v>57</v>
      </c>
      <c r="BF11" s="230">
        <v>37</v>
      </c>
      <c r="BG11" s="230">
        <v>28</v>
      </c>
      <c r="BH11" s="230">
        <v>61</v>
      </c>
      <c r="BI11" s="230">
        <v>37</v>
      </c>
      <c r="BJ11" s="230">
        <v>26</v>
      </c>
      <c r="BK11" s="230">
        <v>32</v>
      </c>
      <c r="BL11" s="230">
        <v>31</v>
      </c>
      <c r="BM11" s="230">
        <v>34</v>
      </c>
      <c r="BN11" s="230">
        <v>27</v>
      </c>
      <c r="BO11" s="230">
        <v>51</v>
      </c>
      <c r="BP11" s="230">
        <v>299</v>
      </c>
      <c r="BQ11" s="230">
        <v>21</v>
      </c>
      <c r="BR11" s="230">
        <v>101</v>
      </c>
      <c r="BS11" s="230">
        <v>19</v>
      </c>
      <c r="BT11" s="230">
        <v>42</v>
      </c>
      <c r="BU11" s="230">
        <v>18</v>
      </c>
      <c r="BV11" s="230">
        <v>12</v>
      </c>
      <c r="BW11" s="230">
        <v>90</v>
      </c>
      <c r="BX11" s="230">
        <v>20</v>
      </c>
      <c r="BY11" s="230">
        <v>55</v>
      </c>
      <c r="BZ11" s="230">
        <v>75</v>
      </c>
      <c r="CA11" s="230">
        <v>63</v>
      </c>
      <c r="CB11" s="230">
        <v>5</v>
      </c>
      <c r="CC11" s="230">
        <v>35</v>
      </c>
      <c r="CD11" s="230">
        <v>43</v>
      </c>
      <c r="CE11" s="230">
        <v>21</v>
      </c>
      <c r="CF11" s="231">
        <v>2481</v>
      </c>
      <c r="CG11" s="232">
        <f>CF11/CF13</f>
        <v>6.9753711201079621E-2</v>
      </c>
      <c r="CH11" s="233" t="s">
        <v>152</v>
      </c>
    </row>
    <row r="12" spans="1:86" ht="14.45" x14ac:dyDescent="0.3">
      <c r="A12" s="229" t="s">
        <v>153</v>
      </c>
      <c r="B12" s="230">
        <v>33</v>
      </c>
      <c r="C12" s="230">
        <v>60</v>
      </c>
      <c r="D12" s="230"/>
      <c r="E12" s="230">
        <v>37</v>
      </c>
      <c r="F12" s="230"/>
      <c r="G12" s="230">
        <v>23</v>
      </c>
      <c r="H12" s="230">
        <v>70</v>
      </c>
      <c r="I12" s="230">
        <v>3</v>
      </c>
      <c r="J12" s="230">
        <v>86</v>
      </c>
      <c r="K12" s="230">
        <v>8</v>
      </c>
      <c r="L12" s="230">
        <v>24</v>
      </c>
      <c r="M12" s="230">
        <v>122</v>
      </c>
      <c r="N12" s="230">
        <v>25</v>
      </c>
      <c r="O12" s="230"/>
      <c r="P12" s="230">
        <v>24</v>
      </c>
      <c r="Q12" s="230">
        <v>13</v>
      </c>
      <c r="R12" s="230"/>
      <c r="S12" s="230">
        <v>46</v>
      </c>
      <c r="T12" s="230">
        <v>32</v>
      </c>
      <c r="U12" s="230">
        <v>1</v>
      </c>
      <c r="V12" s="230">
        <v>12</v>
      </c>
      <c r="W12" s="230">
        <v>52</v>
      </c>
      <c r="X12" s="230">
        <v>2</v>
      </c>
      <c r="Y12" s="230">
        <v>11</v>
      </c>
      <c r="Z12" s="230">
        <v>5</v>
      </c>
      <c r="AA12" s="230"/>
      <c r="AB12" s="230">
        <v>4</v>
      </c>
      <c r="AC12" s="230">
        <v>2</v>
      </c>
      <c r="AD12" s="230">
        <v>33</v>
      </c>
      <c r="AE12" s="230">
        <v>9</v>
      </c>
      <c r="AF12" s="230"/>
      <c r="AG12" s="230">
        <v>17</v>
      </c>
      <c r="AH12" s="230">
        <v>54</v>
      </c>
      <c r="AI12" s="230">
        <v>11</v>
      </c>
      <c r="AJ12" s="230"/>
      <c r="AK12" s="230">
        <v>1</v>
      </c>
      <c r="AL12" s="230">
        <v>18</v>
      </c>
      <c r="AM12" s="230">
        <v>24</v>
      </c>
      <c r="AN12" s="230">
        <v>6</v>
      </c>
      <c r="AO12" s="230">
        <v>3</v>
      </c>
      <c r="AP12" s="230">
        <v>18</v>
      </c>
      <c r="AQ12" s="230">
        <v>1</v>
      </c>
      <c r="AR12" s="230">
        <v>15</v>
      </c>
      <c r="AS12" s="230">
        <v>7</v>
      </c>
      <c r="AT12" s="230">
        <v>11</v>
      </c>
      <c r="AU12" s="230">
        <v>170</v>
      </c>
      <c r="AV12" s="230">
        <v>3</v>
      </c>
      <c r="AW12" s="230">
        <v>6</v>
      </c>
      <c r="AX12" s="230">
        <v>5</v>
      </c>
      <c r="AY12" s="230">
        <v>35</v>
      </c>
      <c r="AZ12" s="230">
        <v>15</v>
      </c>
      <c r="BA12" s="230">
        <v>36</v>
      </c>
      <c r="BB12" s="230">
        <v>40</v>
      </c>
      <c r="BC12" s="230">
        <v>15</v>
      </c>
      <c r="BD12" s="230">
        <v>33</v>
      </c>
      <c r="BE12" s="230">
        <v>22</v>
      </c>
      <c r="BF12" s="230">
        <v>73</v>
      </c>
      <c r="BG12" s="230">
        <v>20</v>
      </c>
      <c r="BH12" s="230">
        <v>56</v>
      </c>
      <c r="BI12" s="230">
        <v>52</v>
      </c>
      <c r="BJ12" s="230">
        <v>8</v>
      </c>
      <c r="BK12" s="230">
        <v>26</v>
      </c>
      <c r="BL12" s="230">
        <v>41</v>
      </c>
      <c r="BM12" s="230">
        <v>50</v>
      </c>
      <c r="BN12" s="230">
        <v>14</v>
      </c>
      <c r="BO12" s="230">
        <v>36</v>
      </c>
      <c r="BP12" s="230">
        <v>76</v>
      </c>
      <c r="BQ12" s="230">
        <v>29</v>
      </c>
      <c r="BR12" s="230">
        <v>199</v>
      </c>
      <c r="BS12" s="230">
        <v>49</v>
      </c>
      <c r="BT12" s="230">
        <v>45</v>
      </c>
      <c r="BU12" s="230">
        <v>37</v>
      </c>
      <c r="BV12" s="230">
        <v>12</v>
      </c>
      <c r="BW12" s="230">
        <v>22</v>
      </c>
      <c r="BX12" s="230">
        <v>11</v>
      </c>
      <c r="BY12" s="230">
        <v>61</v>
      </c>
      <c r="BZ12" s="230">
        <v>86</v>
      </c>
      <c r="CA12" s="230">
        <v>22</v>
      </c>
      <c r="CB12" s="230">
        <v>5</v>
      </c>
      <c r="CC12" s="230">
        <v>36</v>
      </c>
      <c r="CD12" s="230">
        <v>6</v>
      </c>
      <c r="CE12" s="230">
        <v>20</v>
      </c>
      <c r="CF12" s="231">
        <v>2395</v>
      </c>
      <c r="CG12" s="232">
        <f>CF12/CF13</f>
        <v>6.7335807467386419E-2</v>
      </c>
      <c r="CH12" s="233" t="s">
        <v>153</v>
      </c>
    </row>
    <row r="13" spans="1:86" ht="14.45" x14ac:dyDescent="0.3">
      <c r="A13" s="225" t="s">
        <v>1</v>
      </c>
      <c r="B13" s="234">
        <v>902</v>
      </c>
      <c r="C13" s="234">
        <v>183</v>
      </c>
      <c r="D13" s="234">
        <v>713</v>
      </c>
      <c r="E13" s="234">
        <v>384</v>
      </c>
      <c r="F13" s="234">
        <v>1</v>
      </c>
      <c r="G13" s="234">
        <v>381</v>
      </c>
      <c r="H13" s="234">
        <v>1131</v>
      </c>
      <c r="I13" s="234">
        <v>179</v>
      </c>
      <c r="J13" s="234">
        <v>1092</v>
      </c>
      <c r="K13" s="234">
        <v>177</v>
      </c>
      <c r="L13" s="234">
        <v>567</v>
      </c>
      <c r="M13" s="234">
        <v>1015</v>
      </c>
      <c r="N13" s="234">
        <v>339</v>
      </c>
      <c r="O13" s="234">
        <v>72</v>
      </c>
      <c r="P13" s="234">
        <v>427</v>
      </c>
      <c r="Q13" s="234">
        <v>458</v>
      </c>
      <c r="R13" s="234">
        <v>38</v>
      </c>
      <c r="S13" s="234">
        <v>372</v>
      </c>
      <c r="T13" s="234">
        <v>374</v>
      </c>
      <c r="U13" s="234">
        <v>32</v>
      </c>
      <c r="V13" s="234">
        <v>251</v>
      </c>
      <c r="W13" s="234">
        <v>733</v>
      </c>
      <c r="X13" s="234">
        <v>36</v>
      </c>
      <c r="Y13" s="234">
        <v>213</v>
      </c>
      <c r="Z13" s="234">
        <v>41</v>
      </c>
      <c r="AA13" s="234">
        <v>40</v>
      </c>
      <c r="AB13" s="234">
        <v>130</v>
      </c>
      <c r="AC13" s="234">
        <v>16</v>
      </c>
      <c r="AD13" s="234">
        <v>430</v>
      </c>
      <c r="AE13" s="234">
        <v>208</v>
      </c>
      <c r="AF13" s="234">
        <v>22</v>
      </c>
      <c r="AG13" s="234">
        <v>317</v>
      </c>
      <c r="AH13" s="234">
        <v>719</v>
      </c>
      <c r="AI13" s="234">
        <v>145</v>
      </c>
      <c r="AJ13" s="234">
        <v>13</v>
      </c>
      <c r="AK13" s="234">
        <v>55</v>
      </c>
      <c r="AL13" s="234">
        <v>322</v>
      </c>
      <c r="AM13" s="234">
        <v>195</v>
      </c>
      <c r="AN13" s="234">
        <v>248</v>
      </c>
      <c r="AO13" s="234">
        <v>22</v>
      </c>
      <c r="AP13" s="234">
        <v>229</v>
      </c>
      <c r="AQ13" s="234">
        <v>38</v>
      </c>
      <c r="AR13" s="234">
        <v>247</v>
      </c>
      <c r="AS13" s="234">
        <v>208</v>
      </c>
      <c r="AT13" s="234">
        <v>234</v>
      </c>
      <c r="AU13" s="234">
        <v>814</v>
      </c>
      <c r="AV13" s="234">
        <v>75</v>
      </c>
      <c r="AW13" s="234">
        <v>725</v>
      </c>
      <c r="AX13" s="234">
        <v>158</v>
      </c>
      <c r="AY13" s="234">
        <v>612</v>
      </c>
      <c r="AZ13" s="234">
        <v>359</v>
      </c>
      <c r="BA13" s="234">
        <v>581</v>
      </c>
      <c r="BB13" s="234">
        <v>553</v>
      </c>
      <c r="BC13" s="234">
        <v>478</v>
      </c>
      <c r="BD13" s="234">
        <v>285</v>
      </c>
      <c r="BE13" s="234">
        <v>546</v>
      </c>
      <c r="BF13" s="234">
        <v>560</v>
      </c>
      <c r="BG13" s="234">
        <v>399</v>
      </c>
      <c r="BH13" s="234">
        <v>828</v>
      </c>
      <c r="BI13" s="234">
        <v>609</v>
      </c>
      <c r="BJ13" s="234">
        <v>353</v>
      </c>
      <c r="BK13" s="234">
        <v>524</v>
      </c>
      <c r="BL13" s="234">
        <v>412</v>
      </c>
      <c r="BM13" s="234">
        <v>665</v>
      </c>
      <c r="BN13" s="234">
        <v>405</v>
      </c>
      <c r="BO13" s="234">
        <v>699</v>
      </c>
      <c r="BP13" s="234">
        <v>2579</v>
      </c>
      <c r="BQ13" s="234">
        <v>329</v>
      </c>
      <c r="BR13" s="234">
        <v>1495</v>
      </c>
      <c r="BS13" s="234">
        <v>566</v>
      </c>
      <c r="BT13" s="234">
        <v>595</v>
      </c>
      <c r="BU13" s="234">
        <v>321</v>
      </c>
      <c r="BV13" s="234">
        <v>321</v>
      </c>
      <c r="BW13" s="234">
        <v>769</v>
      </c>
      <c r="BX13" s="234">
        <v>426</v>
      </c>
      <c r="BY13" s="234">
        <v>678</v>
      </c>
      <c r="BZ13" s="234">
        <v>752</v>
      </c>
      <c r="CA13" s="234">
        <v>730</v>
      </c>
      <c r="CB13" s="234">
        <v>152</v>
      </c>
      <c r="CC13" s="234">
        <v>538</v>
      </c>
      <c r="CD13" s="234">
        <v>402</v>
      </c>
      <c r="CE13" s="234">
        <v>326</v>
      </c>
      <c r="CF13" s="234">
        <v>35568</v>
      </c>
      <c r="CG13" s="235">
        <f>SUM(CG4:CG12)</f>
        <v>1</v>
      </c>
      <c r="CH13" s="228"/>
    </row>
    <row r="14" spans="1:86" ht="14.45" x14ac:dyDescent="0.3">
      <c r="A14" s="236"/>
    </row>
    <row r="15" spans="1:86" ht="14.45" x14ac:dyDescent="0.3">
      <c r="A15" s="237" t="s">
        <v>154</v>
      </c>
      <c r="B15" s="178" t="s">
        <v>155</v>
      </c>
    </row>
    <row r="16" spans="1:86" ht="14.45" x14ac:dyDescent="0.3">
      <c r="A16" s="238">
        <v>41579</v>
      </c>
      <c r="B16" s="239">
        <f>SUM(B13:D13)</f>
        <v>1798</v>
      </c>
      <c r="C16" s="228"/>
    </row>
    <row r="17" spans="1:16" ht="14.45" x14ac:dyDescent="0.3">
      <c r="A17" s="238">
        <v>41609</v>
      </c>
      <c r="B17" s="239">
        <f>SUM(E13:G13)</f>
        <v>766</v>
      </c>
      <c r="C17" s="240"/>
    </row>
    <row r="18" spans="1:16" ht="14.45" x14ac:dyDescent="0.3">
      <c r="A18" s="238">
        <v>41640</v>
      </c>
      <c r="B18" s="239">
        <f>SUM(H13)</f>
        <v>1131</v>
      </c>
      <c r="C18" s="240"/>
      <c r="D18" s="513" t="s">
        <v>156</v>
      </c>
      <c r="E18" s="513"/>
      <c r="F18" s="241">
        <f>AVERAGE(B25:B29,B31:B32)</f>
        <v>2231.1428571428573</v>
      </c>
      <c r="H18" t="s">
        <v>157</v>
      </c>
    </row>
    <row r="19" spans="1:16" ht="14.45" x14ac:dyDescent="0.3">
      <c r="A19" s="238">
        <v>41671</v>
      </c>
      <c r="B19" s="239">
        <f>SUM(I13:M13)</f>
        <v>3030</v>
      </c>
      <c r="C19" s="240"/>
      <c r="D19" s="513" t="s">
        <v>158</v>
      </c>
      <c r="E19" s="513"/>
      <c r="F19" s="242">
        <v>15</v>
      </c>
      <c r="L19">
        <v>2016</v>
      </c>
      <c r="M19">
        <v>2017</v>
      </c>
      <c r="N19">
        <v>2018</v>
      </c>
      <c r="O19">
        <v>2019</v>
      </c>
      <c r="P19">
        <v>2020</v>
      </c>
    </row>
    <row r="20" spans="1:16" ht="14.45" x14ac:dyDescent="0.3">
      <c r="A20" s="238">
        <v>41699</v>
      </c>
      <c r="B20" s="243">
        <f>SUM(N13:R13)</f>
        <v>1334</v>
      </c>
      <c r="D20" s="513" t="s">
        <v>98</v>
      </c>
      <c r="E20" s="513"/>
      <c r="F20" s="241">
        <f>(F18/'Actuals + Forecasts'!C24)/F19</f>
        <v>8.1367829021372344</v>
      </c>
      <c r="H20" t="s">
        <v>159</v>
      </c>
      <c r="L20" s="224">
        <f>((F18*12)/440000)</f>
        <v>6.084935064935066E-2</v>
      </c>
    </row>
    <row r="21" spans="1:16" ht="14.45" x14ac:dyDescent="0.3">
      <c r="A21" s="238">
        <v>41730</v>
      </c>
      <c r="B21" s="243">
        <f>SUM(S13:X13)</f>
        <v>1798</v>
      </c>
      <c r="H21" t="s">
        <v>160</v>
      </c>
      <c r="M21" s="224">
        <v>5.0000000000000001E-3</v>
      </c>
      <c r="N21" s="224">
        <v>5.0000000000000001E-3</v>
      </c>
      <c r="O21" s="224">
        <v>5.0000000000000001E-3</v>
      </c>
      <c r="P21" s="224">
        <v>5.0000000000000001E-3</v>
      </c>
    </row>
    <row r="22" spans="1:16" ht="14.45" x14ac:dyDescent="0.3">
      <c r="A22" s="238">
        <v>41760</v>
      </c>
      <c r="B22" s="243">
        <f>SUM(Y13:AF13)</f>
        <v>1100</v>
      </c>
      <c r="H22" t="s">
        <v>161</v>
      </c>
      <c r="M22" s="244">
        <f>M21*700000</f>
        <v>3500</v>
      </c>
      <c r="N22" t="s">
        <v>162</v>
      </c>
    </row>
    <row r="23" spans="1:16" thickBot="1" x14ac:dyDescent="0.35">
      <c r="A23" s="238">
        <v>41791</v>
      </c>
      <c r="B23" s="243">
        <f>SUM(AG13:AM13)</f>
        <v>1766</v>
      </c>
    </row>
    <row r="24" spans="1:16" ht="14.45" x14ac:dyDescent="0.3">
      <c r="A24" s="238">
        <v>41821</v>
      </c>
      <c r="B24" s="243">
        <f>SUM(AN13:AS13)</f>
        <v>992</v>
      </c>
      <c r="G24" s="245"/>
      <c r="H24" s="514" t="s">
        <v>12</v>
      </c>
      <c r="I24" s="514"/>
      <c r="J24" s="514"/>
      <c r="K24" s="514"/>
      <c r="L24" s="514"/>
      <c r="M24" s="514"/>
      <c r="N24" s="246"/>
      <c r="O24" s="247"/>
    </row>
    <row r="25" spans="1:16" ht="14.45" x14ac:dyDescent="0.3">
      <c r="A25" s="238">
        <v>41852</v>
      </c>
      <c r="B25" s="243">
        <f>SUM(AT13:AX13)</f>
        <v>2006</v>
      </c>
      <c r="G25" s="248"/>
      <c r="H25" s="249">
        <v>2017</v>
      </c>
      <c r="I25" s="249">
        <v>2018</v>
      </c>
      <c r="J25" s="249">
        <v>2019</v>
      </c>
      <c r="K25" s="249">
        <v>2020</v>
      </c>
      <c r="L25" s="513" t="s">
        <v>138</v>
      </c>
      <c r="M25" s="513"/>
      <c r="N25" s="513"/>
      <c r="O25" s="250"/>
    </row>
    <row r="26" spans="1:16" ht="14.45" x14ac:dyDescent="0.3">
      <c r="A26" s="238">
        <v>41883</v>
      </c>
      <c r="B26" s="243">
        <f>SUM(AY13:BC13)</f>
        <v>2583</v>
      </c>
      <c r="G26" s="248"/>
      <c r="H26" s="251">
        <v>23047.272727272732</v>
      </c>
      <c r="I26" s="251">
        <v>13652.883116883118</v>
      </c>
      <c r="J26" s="251">
        <v>13727.883116883118</v>
      </c>
      <c r="K26" s="251">
        <v>13802.883116883118</v>
      </c>
      <c r="L26" s="485" t="s">
        <v>163</v>
      </c>
      <c r="M26" s="485"/>
      <c r="N26" s="485"/>
      <c r="O26" s="250"/>
    </row>
    <row r="27" spans="1:16" ht="14.45" x14ac:dyDescent="0.3">
      <c r="A27" s="238">
        <v>41913</v>
      </c>
      <c r="B27" s="243">
        <f>SUM(BD13:BG13)</f>
        <v>1790</v>
      </c>
      <c r="G27" s="248"/>
      <c r="H27" s="252">
        <f>H26/12</f>
        <v>1920.606060606061</v>
      </c>
      <c r="I27" s="252">
        <f t="shared" ref="I27:K27" si="0">I26/12</f>
        <v>1137.7402597402599</v>
      </c>
      <c r="J27" s="252">
        <f t="shared" si="0"/>
        <v>1143.9902597402599</v>
      </c>
      <c r="K27" s="252">
        <f t="shared" si="0"/>
        <v>1150.2402597402599</v>
      </c>
      <c r="L27" s="485" t="s">
        <v>164</v>
      </c>
      <c r="M27" s="485"/>
      <c r="N27" s="485"/>
      <c r="O27" s="250"/>
    </row>
    <row r="28" spans="1:16" ht="14.45" x14ac:dyDescent="0.3">
      <c r="A28" s="238">
        <v>41944</v>
      </c>
      <c r="B28" s="243">
        <f>SUM(BH13:BK13)</f>
        <v>2314</v>
      </c>
      <c r="G28" s="248"/>
      <c r="H28" s="413"/>
      <c r="I28" s="413"/>
      <c r="J28" s="413"/>
      <c r="K28" s="413"/>
      <c r="L28" s="485" t="s">
        <v>98</v>
      </c>
      <c r="M28" s="485"/>
      <c r="N28" s="485"/>
      <c r="O28" s="250"/>
    </row>
    <row r="29" spans="1:16" x14ac:dyDescent="0.25">
      <c r="A29" s="238">
        <v>41974</v>
      </c>
      <c r="B29" s="243">
        <f>SUM(BL13:BO13)</f>
        <v>2181</v>
      </c>
      <c r="G29" s="248"/>
      <c r="H29" s="253"/>
      <c r="I29" s="253"/>
      <c r="J29" s="253"/>
      <c r="K29" s="253"/>
      <c r="L29" s="253"/>
      <c r="M29" s="253"/>
      <c r="N29" s="253"/>
      <c r="O29" s="250"/>
    </row>
    <row r="30" spans="1:16" x14ac:dyDescent="0.25">
      <c r="A30" s="238">
        <v>42005</v>
      </c>
      <c r="B30" s="243">
        <f>SUM(BP13:BS13)</f>
        <v>4969</v>
      </c>
      <c r="G30" s="248"/>
      <c r="H30" s="511" t="s">
        <v>38</v>
      </c>
      <c r="I30" s="511"/>
      <c r="J30" s="511"/>
      <c r="K30" s="511"/>
      <c r="L30" s="511"/>
      <c r="M30" s="511"/>
      <c r="N30" s="511"/>
      <c r="O30" s="250"/>
    </row>
    <row r="31" spans="1:16" x14ac:dyDescent="0.25">
      <c r="A31" s="238">
        <v>42036</v>
      </c>
      <c r="B31" s="243">
        <f>SUM(BT13:BW13)</f>
        <v>2006</v>
      </c>
      <c r="G31" s="248"/>
      <c r="H31" s="515" t="s">
        <v>165</v>
      </c>
      <c r="I31" s="516"/>
      <c r="J31" s="516"/>
      <c r="K31" s="516"/>
      <c r="L31" s="516"/>
      <c r="M31" s="516"/>
      <c r="N31" s="517"/>
      <c r="O31" s="250"/>
    </row>
    <row r="32" spans="1:16" x14ac:dyDescent="0.25">
      <c r="A32" s="238">
        <v>42064</v>
      </c>
      <c r="B32" s="243">
        <f>SUM(BX13:CB13)</f>
        <v>2738</v>
      </c>
      <c r="G32" s="248"/>
      <c r="H32" s="485" t="s">
        <v>230</v>
      </c>
      <c r="I32" s="485"/>
      <c r="J32" s="485"/>
      <c r="K32" s="485"/>
      <c r="L32" s="485"/>
      <c r="M32" s="485"/>
      <c r="N32" s="485"/>
      <c r="O32" s="250"/>
    </row>
    <row r="33" spans="1:15" x14ac:dyDescent="0.25">
      <c r="A33" s="254"/>
      <c r="B33" s="255"/>
      <c r="G33" s="248"/>
      <c r="H33" s="485" t="s">
        <v>166</v>
      </c>
      <c r="I33" s="485"/>
      <c r="J33" s="485"/>
      <c r="K33" s="485"/>
      <c r="L33" s="485"/>
      <c r="M33" s="485"/>
      <c r="N33" s="485"/>
      <c r="O33" s="250"/>
    </row>
    <row r="34" spans="1:15" ht="15.75" thickBot="1" x14ac:dyDescent="0.3">
      <c r="A34" s="164"/>
      <c r="G34" s="256"/>
      <c r="H34" s="257"/>
      <c r="I34" s="257"/>
      <c r="J34" s="257"/>
      <c r="K34" s="257"/>
      <c r="L34" s="257"/>
      <c r="M34" s="257"/>
      <c r="N34" s="257"/>
      <c r="O34" s="258"/>
    </row>
    <row r="35" spans="1:15" x14ac:dyDescent="0.25">
      <c r="A35" s="164"/>
    </row>
    <row r="36" spans="1:15" x14ac:dyDescent="0.25">
      <c r="A36" s="164"/>
    </row>
    <row r="37" spans="1:15" x14ac:dyDescent="0.25">
      <c r="A37" s="164"/>
    </row>
    <row r="38" spans="1:15" x14ac:dyDescent="0.25">
      <c r="A38" s="164"/>
    </row>
    <row r="39" spans="1:15" x14ac:dyDescent="0.25">
      <c r="A39" s="164"/>
    </row>
    <row r="40" spans="1:15" x14ac:dyDescent="0.25">
      <c r="A40" s="164"/>
    </row>
    <row r="41" spans="1:15" x14ac:dyDescent="0.25">
      <c r="A41" s="164"/>
    </row>
    <row r="42" spans="1:15" x14ac:dyDescent="0.25">
      <c r="A42" s="164"/>
    </row>
    <row r="43" spans="1:15" x14ac:dyDescent="0.25">
      <c r="A43" s="164"/>
    </row>
    <row r="44" spans="1:15" x14ac:dyDescent="0.25">
      <c r="A44" s="164"/>
    </row>
    <row r="45" spans="1:15" x14ac:dyDescent="0.25">
      <c r="A45" s="164"/>
    </row>
    <row r="46" spans="1:15" x14ac:dyDescent="0.25">
      <c r="A46" s="164"/>
    </row>
    <row r="47" spans="1:15" x14ac:dyDescent="0.25">
      <c r="A47" s="164"/>
    </row>
  </sheetData>
  <mergeCells count="12">
    <mergeCell ref="H33:N33"/>
    <mergeCell ref="D18:E18"/>
    <mergeCell ref="D19:E19"/>
    <mergeCell ref="D20:E20"/>
    <mergeCell ref="H24:M24"/>
    <mergeCell ref="L25:N25"/>
    <mergeCell ref="L26:N26"/>
    <mergeCell ref="L27:N27"/>
    <mergeCell ref="L28:N28"/>
    <mergeCell ref="H30:N30"/>
    <mergeCell ref="H31:N31"/>
    <mergeCell ref="H32:N3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topLeftCell="A13" workbookViewId="0">
      <selection activeCell="H48" sqref="H48"/>
    </sheetView>
  </sheetViews>
  <sheetFormatPr defaultRowHeight="15" x14ac:dyDescent="0.25"/>
  <cols>
    <col min="1" max="1" width="11.42578125" customWidth="1"/>
    <col min="2" max="2" width="10" bestFit="1" customWidth="1"/>
    <col min="3" max="3" width="12.5703125" bestFit="1" customWidth="1"/>
    <col min="4" max="7" width="11.5703125" bestFit="1" customWidth="1"/>
    <col min="8" max="8" width="49.140625" bestFit="1" customWidth="1"/>
    <col min="10" max="15" width="10" bestFit="1" customWidth="1"/>
    <col min="17" max="22" width="11.5703125" bestFit="1" customWidth="1"/>
  </cols>
  <sheetData>
    <row r="1" spans="1:22" thickBot="1" x14ac:dyDescent="0.35"/>
    <row r="2" spans="1:22" ht="14.45" x14ac:dyDescent="0.3">
      <c r="A2" s="6" t="s">
        <v>45</v>
      </c>
      <c r="J2" s="96" t="s">
        <v>3</v>
      </c>
      <c r="K2" s="96" t="s">
        <v>4</v>
      </c>
      <c r="L2" s="96" t="s">
        <v>5</v>
      </c>
      <c r="M2" s="96" t="s">
        <v>6</v>
      </c>
      <c r="N2" s="96" t="s">
        <v>7</v>
      </c>
      <c r="O2" s="96" t="s">
        <v>8</v>
      </c>
    </row>
    <row r="3" spans="1:22" ht="14.45" x14ac:dyDescent="0.3">
      <c r="J3" s="97" t="s">
        <v>12</v>
      </c>
      <c r="K3" s="97" t="s">
        <v>12</v>
      </c>
      <c r="L3" s="97" t="s">
        <v>12</v>
      </c>
      <c r="M3" s="97" t="s">
        <v>12</v>
      </c>
      <c r="N3" s="97" t="s">
        <v>12</v>
      </c>
      <c r="O3" s="97" t="s">
        <v>12</v>
      </c>
    </row>
    <row r="4" spans="1:22" ht="14.45" x14ac:dyDescent="0.3">
      <c r="A4" t="s">
        <v>46</v>
      </c>
      <c r="I4" s="98" t="s">
        <v>47</v>
      </c>
      <c r="J4" s="341"/>
      <c r="K4" s="341"/>
      <c r="L4" s="341"/>
      <c r="M4" s="341"/>
      <c r="N4" s="341"/>
      <c r="O4" s="341"/>
    </row>
    <row r="5" spans="1:22" ht="14.45" x14ac:dyDescent="0.3">
      <c r="I5" s="98" t="s">
        <v>42</v>
      </c>
      <c r="J5" s="99">
        <v>988724</v>
      </c>
      <c r="K5" s="99">
        <v>988724</v>
      </c>
      <c r="L5" s="99">
        <v>988724</v>
      </c>
      <c r="M5" s="99">
        <v>988724</v>
      </c>
      <c r="N5" s="99">
        <v>988724</v>
      </c>
      <c r="O5" s="99">
        <v>988724</v>
      </c>
    </row>
    <row r="6" spans="1:22" ht="14.45" x14ac:dyDescent="0.3">
      <c r="A6" t="s">
        <v>271</v>
      </c>
      <c r="H6" t="s">
        <v>74</v>
      </c>
      <c r="I6" s="129">
        <v>0.75</v>
      </c>
      <c r="J6" s="130">
        <f>J5*$I$6</f>
        <v>741543</v>
      </c>
      <c r="K6" s="130">
        <f t="shared" ref="K6:O6" si="0">K5*$I$6</f>
        <v>741543</v>
      </c>
      <c r="L6" s="130">
        <f t="shared" si="0"/>
        <v>741543</v>
      </c>
      <c r="M6" s="130">
        <f t="shared" si="0"/>
        <v>741543</v>
      </c>
      <c r="N6" s="130">
        <f t="shared" si="0"/>
        <v>741543</v>
      </c>
      <c r="O6" s="130">
        <f t="shared" si="0"/>
        <v>741543</v>
      </c>
    </row>
    <row r="7" spans="1:22" ht="14.45" x14ac:dyDescent="0.3">
      <c r="A7" t="s">
        <v>48</v>
      </c>
      <c r="H7" t="s">
        <v>75</v>
      </c>
      <c r="I7" s="129">
        <v>0.25</v>
      </c>
      <c r="J7" s="130">
        <f>J5*$I$7</f>
        <v>247181</v>
      </c>
      <c r="K7" s="130">
        <f t="shared" ref="K7:O7" si="1">K5*$I$7</f>
        <v>247181</v>
      </c>
      <c r="L7" s="130">
        <f t="shared" si="1"/>
        <v>247181</v>
      </c>
      <c r="M7" s="130">
        <f t="shared" si="1"/>
        <v>247181</v>
      </c>
      <c r="N7" s="130">
        <f t="shared" si="1"/>
        <v>247181</v>
      </c>
      <c r="O7" s="130">
        <f t="shared" si="1"/>
        <v>247181</v>
      </c>
    </row>
    <row r="9" spans="1:22" ht="14.45" x14ac:dyDescent="0.3">
      <c r="A9" s="3" t="s">
        <v>41</v>
      </c>
    </row>
    <row r="10" spans="1:22" ht="14.45" x14ac:dyDescent="0.3">
      <c r="A10" s="339"/>
      <c r="B10" s="87" t="s">
        <v>29</v>
      </c>
      <c r="D10" s="100"/>
    </row>
    <row r="11" spans="1:22" ht="14.45" x14ac:dyDescent="0.3">
      <c r="A11" s="95">
        <v>988724</v>
      </c>
      <c r="B11" t="s">
        <v>49</v>
      </c>
      <c r="D11" s="100"/>
    </row>
    <row r="12" spans="1:22" ht="14.45" x14ac:dyDescent="0.3">
      <c r="A12" s="3" t="s">
        <v>50</v>
      </c>
    </row>
    <row r="13" spans="1:22" ht="14.45" x14ac:dyDescent="0.3">
      <c r="A13" s="340"/>
      <c r="B13" t="s">
        <v>51</v>
      </c>
    </row>
    <row r="14" spans="1:22" thickBot="1" x14ac:dyDescent="0.35"/>
    <row r="15" spans="1:22" ht="14.45" x14ac:dyDescent="0.3">
      <c r="Q15" s="101" t="s">
        <v>3</v>
      </c>
      <c r="R15" s="101" t="s">
        <v>4</v>
      </c>
      <c r="S15" s="101" t="s">
        <v>5</v>
      </c>
      <c r="T15" s="101" t="s">
        <v>6</v>
      </c>
      <c r="U15" s="101" t="s">
        <v>7</v>
      </c>
      <c r="V15" s="101" t="s">
        <v>8</v>
      </c>
    </row>
    <row r="16" spans="1:22" ht="14.45" x14ac:dyDescent="0.3">
      <c r="A16" s="6" t="s">
        <v>52</v>
      </c>
      <c r="Q16" s="102" t="s">
        <v>12</v>
      </c>
      <c r="R16" s="102" t="s">
        <v>12</v>
      </c>
      <c r="S16" s="102" t="s">
        <v>12</v>
      </c>
      <c r="T16" s="102" t="s">
        <v>12</v>
      </c>
      <c r="U16" s="102" t="s">
        <v>12</v>
      </c>
      <c r="V16" s="102" t="s">
        <v>12</v>
      </c>
    </row>
    <row r="17" spans="1:22" ht="14.45" x14ac:dyDescent="0.3">
      <c r="P17" s="103" t="s">
        <v>47</v>
      </c>
      <c r="Q17" s="341"/>
      <c r="R17" s="341"/>
      <c r="S17" s="341"/>
      <c r="T17" s="341"/>
      <c r="U17" s="341"/>
      <c r="V17" s="341"/>
    </row>
    <row r="18" spans="1:22" ht="14.45" x14ac:dyDescent="0.3">
      <c r="A18" t="s">
        <v>53</v>
      </c>
      <c r="P18" s="103" t="s">
        <v>42</v>
      </c>
      <c r="Q18" s="104">
        <v>1628585.9999999998</v>
      </c>
      <c r="R18" s="104">
        <v>1628585.9999999998</v>
      </c>
      <c r="S18" s="104">
        <v>1628585.9999999998</v>
      </c>
      <c r="T18" s="104">
        <v>1628585.9999999998</v>
      </c>
      <c r="U18" s="104">
        <v>1628585.9999999998</v>
      </c>
      <c r="V18" s="104">
        <v>1628585.9999999998</v>
      </c>
    </row>
    <row r="19" spans="1:22" ht="14.45" x14ac:dyDescent="0.3">
      <c r="O19" s="259" t="s">
        <v>74</v>
      </c>
      <c r="P19" s="129">
        <v>0.5</v>
      </c>
      <c r="Q19" s="130">
        <f>Q18*$P$19</f>
        <v>814292.99999999988</v>
      </c>
      <c r="R19" s="130">
        <f t="shared" ref="R19:V19" si="2">R18*$P$19</f>
        <v>814292.99999999988</v>
      </c>
      <c r="S19" s="130">
        <f t="shared" si="2"/>
        <v>814292.99999999988</v>
      </c>
      <c r="T19" s="130">
        <f t="shared" si="2"/>
        <v>814292.99999999988</v>
      </c>
      <c r="U19" s="130">
        <f t="shared" si="2"/>
        <v>814292.99999999988</v>
      </c>
      <c r="V19" s="130">
        <f t="shared" si="2"/>
        <v>814292.99999999988</v>
      </c>
    </row>
    <row r="20" spans="1:22" ht="14.45" x14ac:dyDescent="0.3">
      <c r="A20" t="s">
        <v>271</v>
      </c>
      <c r="O20" s="259" t="s">
        <v>76</v>
      </c>
      <c r="P20" s="129">
        <v>0.5</v>
      </c>
      <c r="Q20" s="130">
        <f>Q18*$P$20</f>
        <v>814292.99999999988</v>
      </c>
      <c r="R20" s="130">
        <f t="shared" ref="R20:V20" si="3">R18*$P$20</f>
        <v>814292.99999999988</v>
      </c>
      <c r="S20" s="130">
        <f t="shared" si="3"/>
        <v>814292.99999999988</v>
      </c>
      <c r="T20" s="130">
        <f t="shared" si="3"/>
        <v>814292.99999999988</v>
      </c>
      <c r="U20" s="130">
        <f t="shared" si="3"/>
        <v>814292.99999999988</v>
      </c>
      <c r="V20" s="130">
        <f t="shared" si="3"/>
        <v>814292.99999999988</v>
      </c>
    </row>
    <row r="21" spans="1:22" ht="14.45" x14ac:dyDescent="0.3">
      <c r="A21" t="s">
        <v>48</v>
      </c>
    </row>
    <row r="23" spans="1:22" ht="14.45" x14ac:dyDescent="0.3">
      <c r="A23" s="3" t="s">
        <v>41</v>
      </c>
    </row>
    <row r="24" spans="1:22" ht="14.45" x14ac:dyDescent="0.3">
      <c r="A24" s="339"/>
      <c r="B24" s="87" t="s">
        <v>29</v>
      </c>
    </row>
    <row r="25" spans="1:22" ht="14.45" x14ac:dyDescent="0.3">
      <c r="A25" s="95">
        <f>1333586+295000</f>
        <v>1628586</v>
      </c>
      <c r="B25" t="s">
        <v>272</v>
      </c>
    </row>
    <row r="26" spans="1:22" ht="14.45" x14ac:dyDescent="0.3">
      <c r="A26" s="3" t="s">
        <v>50</v>
      </c>
    </row>
    <row r="27" spans="1:22" ht="14.45" x14ac:dyDescent="0.3">
      <c r="A27" s="340"/>
      <c r="B27" t="s">
        <v>54</v>
      </c>
    </row>
    <row r="29" spans="1:22" ht="14.45" x14ac:dyDescent="0.3">
      <c r="A29" s="6" t="s">
        <v>55</v>
      </c>
    </row>
    <row r="30" spans="1:22" thickBot="1" x14ac:dyDescent="0.35"/>
    <row r="31" spans="1:22" ht="14.45" x14ac:dyDescent="0.3">
      <c r="C31" s="78" t="s">
        <v>3</v>
      </c>
      <c r="D31" s="78" t="s">
        <v>4</v>
      </c>
      <c r="E31" s="78" t="s">
        <v>5</v>
      </c>
      <c r="F31" s="78" t="s">
        <v>6</v>
      </c>
      <c r="G31" s="78" t="s">
        <v>7</v>
      </c>
      <c r="H31" s="78" t="s">
        <v>8</v>
      </c>
    </row>
    <row r="32" spans="1:22" thickBot="1" x14ac:dyDescent="0.35">
      <c r="C32" s="79" t="s">
        <v>12</v>
      </c>
      <c r="D32" s="79" t="s">
        <v>12</v>
      </c>
      <c r="E32" s="79" t="s">
        <v>12</v>
      </c>
      <c r="F32" s="79" t="s">
        <v>12</v>
      </c>
      <c r="G32" s="79" t="s">
        <v>12</v>
      </c>
      <c r="H32" s="79" t="s">
        <v>12</v>
      </c>
    </row>
    <row r="33" spans="2:8" thickBot="1" x14ac:dyDescent="0.35">
      <c r="B33" s="83" t="s">
        <v>47</v>
      </c>
      <c r="C33" s="342"/>
      <c r="D33" s="342"/>
      <c r="E33" s="342"/>
      <c r="F33" s="342"/>
      <c r="G33" s="343"/>
      <c r="H33" s="343"/>
    </row>
    <row r="34" spans="2:8" ht="14.45" x14ac:dyDescent="0.3">
      <c r="B34" s="105">
        <v>503</v>
      </c>
      <c r="C34" s="106">
        <f>Q19</f>
        <v>814292.99999999988</v>
      </c>
      <c r="D34" s="106">
        <f t="shared" ref="D34:H34" si="4">R19</f>
        <v>814292.99999999988</v>
      </c>
      <c r="E34" s="106">
        <f t="shared" si="4"/>
        <v>814292.99999999988</v>
      </c>
      <c r="F34" s="106">
        <f t="shared" si="4"/>
        <v>814292.99999999988</v>
      </c>
      <c r="G34" s="106">
        <f t="shared" si="4"/>
        <v>814292.99999999988</v>
      </c>
      <c r="H34" s="106">
        <f t="shared" si="4"/>
        <v>814292.99999999988</v>
      </c>
    </row>
    <row r="35" spans="2:8" ht="14.45" x14ac:dyDescent="0.3">
      <c r="B35" s="107" t="s">
        <v>56</v>
      </c>
      <c r="C35" s="108">
        <f>J6</f>
        <v>741543</v>
      </c>
      <c r="D35" s="108">
        <f t="shared" ref="D35:H35" si="5">K6</f>
        <v>741543</v>
      </c>
      <c r="E35" s="108">
        <f t="shared" si="5"/>
        <v>741543</v>
      </c>
      <c r="F35" s="108">
        <f t="shared" si="5"/>
        <v>741543</v>
      </c>
      <c r="G35" s="108">
        <f t="shared" si="5"/>
        <v>741543</v>
      </c>
      <c r="H35" s="108">
        <f t="shared" si="5"/>
        <v>741543</v>
      </c>
    </row>
    <row r="36" spans="2:8" ht="14.45" x14ac:dyDescent="0.3">
      <c r="B36" s="107" t="s">
        <v>1</v>
      </c>
      <c r="C36" s="108">
        <f>SUM(C34:C35)</f>
        <v>1555836</v>
      </c>
      <c r="D36" s="108">
        <f t="shared" ref="D36:H36" si="6">SUM(D34:D35)</f>
        <v>1555836</v>
      </c>
      <c r="E36" s="108">
        <f t="shared" si="6"/>
        <v>1555836</v>
      </c>
      <c r="F36" s="108">
        <f t="shared" si="6"/>
        <v>1555836</v>
      </c>
      <c r="G36" s="108">
        <f t="shared" si="6"/>
        <v>1555836</v>
      </c>
      <c r="H36" s="108">
        <f t="shared" si="6"/>
        <v>1555836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4"/>
  <sheetViews>
    <sheetView topLeftCell="A16" zoomScale="110" zoomScaleNormal="110" workbookViewId="0">
      <selection activeCell="J9" sqref="J9"/>
    </sheetView>
  </sheetViews>
  <sheetFormatPr defaultRowHeight="15" x14ac:dyDescent="0.25"/>
  <cols>
    <col min="1" max="1" width="55.28515625" customWidth="1"/>
    <col min="2" max="9" width="13.7109375" bestFit="1" customWidth="1"/>
    <col min="10" max="11" width="13.42578125" customWidth="1"/>
    <col min="12" max="12" width="40.140625" bestFit="1" customWidth="1"/>
  </cols>
  <sheetData>
    <row r="1" spans="1:18" ht="14.45" x14ac:dyDescent="0.3">
      <c r="A1" s="264"/>
      <c r="B1" s="265" t="s">
        <v>183</v>
      </c>
      <c r="C1" s="266" t="s">
        <v>184</v>
      </c>
      <c r="D1" s="267" t="s">
        <v>184</v>
      </c>
      <c r="E1" s="267" t="s">
        <v>184</v>
      </c>
      <c r="F1" s="267" t="s">
        <v>184</v>
      </c>
      <c r="G1" s="267" t="s">
        <v>184</v>
      </c>
      <c r="H1" s="267" t="s">
        <v>184</v>
      </c>
      <c r="I1" s="267" t="s">
        <v>184</v>
      </c>
      <c r="J1" s="362" t="s">
        <v>184</v>
      </c>
      <c r="K1" s="356"/>
    </row>
    <row r="2" spans="1:18" ht="14.45" x14ac:dyDescent="0.3">
      <c r="A2" s="268"/>
      <c r="B2" s="269" t="s">
        <v>185</v>
      </c>
      <c r="C2" s="270" t="s">
        <v>185</v>
      </c>
      <c r="D2" s="64" t="s">
        <v>3</v>
      </c>
      <c r="E2" s="64" t="s">
        <v>4</v>
      </c>
      <c r="F2" s="64" t="s">
        <v>5</v>
      </c>
      <c r="G2" s="64" t="s">
        <v>6</v>
      </c>
      <c r="H2" s="64" t="s">
        <v>7</v>
      </c>
      <c r="I2" s="64" t="s">
        <v>8</v>
      </c>
      <c r="J2" s="363" t="s">
        <v>270</v>
      </c>
      <c r="K2" s="64"/>
    </row>
    <row r="3" spans="1:18" x14ac:dyDescent="0.25">
      <c r="A3" s="271" t="s">
        <v>186</v>
      </c>
      <c r="B3" s="269"/>
      <c r="C3" s="270"/>
      <c r="D3" s="64"/>
      <c r="E3" s="64"/>
      <c r="F3" s="64"/>
      <c r="G3" s="64"/>
      <c r="H3" s="64"/>
      <c r="I3" s="64"/>
      <c r="J3" s="364"/>
      <c r="L3" s="3" t="s">
        <v>187</v>
      </c>
    </row>
    <row r="4" spans="1:18" x14ac:dyDescent="0.25">
      <c r="A4" s="268" t="s">
        <v>307</v>
      </c>
      <c r="B4" s="360">
        <v>38190492.013091758</v>
      </c>
      <c r="C4" s="361">
        <v>39561824.5977166</v>
      </c>
      <c r="D4" s="367"/>
      <c r="E4" s="367"/>
      <c r="F4" s="367"/>
      <c r="G4" s="367"/>
      <c r="H4" s="367"/>
      <c r="I4" s="367"/>
      <c r="J4" s="365"/>
      <c r="K4" s="74"/>
      <c r="M4" s="3"/>
      <c r="N4" s="3" t="s">
        <v>4</v>
      </c>
      <c r="O4" s="3" t="s">
        <v>5</v>
      </c>
      <c r="P4" s="3" t="s">
        <v>6</v>
      </c>
      <c r="Q4" s="3" t="s">
        <v>7</v>
      </c>
      <c r="R4" s="3" t="s">
        <v>8</v>
      </c>
    </row>
    <row r="5" spans="1:18" x14ac:dyDescent="0.25">
      <c r="A5" s="268" t="s">
        <v>188</v>
      </c>
      <c r="B5" s="286">
        <v>0</v>
      </c>
      <c r="C5" s="287">
        <v>0</v>
      </c>
      <c r="D5" s="367"/>
      <c r="E5" s="367"/>
      <c r="F5" s="367"/>
      <c r="G5" s="367"/>
      <c r="H5" s="367"/>
      <c r="I5" s="367"/>
      <c r="J5" s="365">
        <v>38986352.590571508</v>
      </c>
      <c r="K5" s="74"/>
      <c r="L5" t="s">
        <v>9</v>
      </c>
      <c r="M5" s="261"/>
      <c r="N5">
        <v>24.7</v>
      </c>
      <c r="O5">
        <v>25.5</v>
      </c>
      <c r="P5">
        <v>25.4</v>
      </c>
      <c r="Q5">
        <v>25.1</v>
      </c>
      <c r="R5" s="420">
        <v>25</v>
      </c>
    </row>
    <row r="6" spans="1:18" x14ac:dyDescent="0.25">
      <c r="A6" s="268" t="s">
        <v>278</v>
      </c>
      <c r="B6" s="286">
        <v>0</v>
      </c>
      <c r="C6" s="287">
        <v>0</v>
      </c>
      <c r="D6" s="367"/>
      <c r="E6" s="367"/>
      <c r="F6" s="367"/>
      <c r="G6" s="367"/>
      <c r="H6" s="367"/>
      <c r="I6" s="367"/>
      <c r="J6" s="365">
        <v>86784619.521886244</v>
      </c>
      <c r="K6" s="74"/>
      <c r="L6" t="s">
        <v>189</v>
      </c>
      <c r="N6" s="261">
        <v>5</v>
      </c>
      <c r="O6" s="261">
        <v>1.6</v>
      </c>
      <c r="P6" s="261">
        <v>3.6</v>
      </c>
      <c r="Q6" s="261">
        <v>3.6</v>
      </c>
      <c r="R6" s="261">
        <v>3.6</v>
      </c>
    </row>
    <row r="7" spans="1:18" s="4" customFormat="1" x14ac:dyDescent="0.25">
      <c r="A7" s="268" t="s">
        <v>303</v>
      </c>
      <c r="B7" s="360">
        <v>7229145</v>
      </c>
      <c r="C7" s="287">
        <v>0</v>
      </c>
      <c r="D7" s="367"/>
      <c r="E7" s="367"/>
      <c r="F7" s="367"/>
      <c r="G7" s="367"/>
      <c r="H7" s="367"/>
      <c r="I7" s="367"/>
      <c r="J7" s="415">
        <v>17228965.301272415</v>
      </c>
      <c r="K7" s="355"/>
      <c r="M7" s="195"/>
      <c r="N7" s="195">
        <v>29.7</v>
      </c>
      <c r="O7" s="195">
        <v>27.1</v>
      </c>
      <c r="P7" s="195">
        <v>29</v>
      </c>
      <c r="Q7" s="195">
        <v>28.700000000000003</v>
      </c>
      <c r="R7" s="195">
        <v>28.6</v>
      </c>
    </row>
    <row r="8" spans="1:18" x14ac:dyDescent="0.25">
      <c r="A8" s="268" t="s">
        <v>305</v>
      </c>
      <c r="B8" s="360">
        <v>10463404.564366683</v>
      </c>
      <c r="C8" s="361">
        <v>10839121.316596782</v>
      </c>
      <c r="D8" s="367"/>
      <c r="E8" s="367"/>
      <c r="F8" s="367"/>
      <c r="G8" s="367"/>
      <c r="H8" s="367"/>
      <c r="I8" s="367"/>
      <c r="J8" s="415"/>
      <c r="K8" s="74"/>
    </row>
    <row r="9" spans="1:18" x14ac:dyDescent="0.25">
      <c r="A9" s="268" t="s">
        <v>304</v>
      </c>
      <c r="B9" s="360">
        <v>4477818.5327962134</v>
      </c>
      <c r="C9" s="361">
        <v>4638606.6802742677</v>
      </c>
      <c r="D9" s="367"/>
      <c r="E9" s="367"/>
      <c r="F9" s="367"/>
      <c r="G9" s="367"/>
      <c r="H9" s="367"/>
      <c r="I9" s="367"/>
      <c r="J9" s="415">
        <v>9991345</v>
      </c>
      <c r="K9" s="74"/>
    </row>
    <row r="10" spans="1:18" x14ac:dyDescent="0.25">
      <c r="A10" s="268" t="s">
        <v>306</v>
      </c>
      <c r="B10" s="360">
        <f>SUM(B4:B9)</f>
        <v>60360860.110254653</v>
      </c>
      <c r="C10" s="361">
        <f>SUM(C4:C9)</f>
        <v>55039552.594587654</v>
      </c>
      <c r="D10" s="367"/>
      <c r="E10" s="367"/>
      <c r="F10" s="367"/>
      <c r="G10" s="367"/>
      <c r="H10" s="367"/>
      <c r="I10" s="367"/>
      <c r="J10" s="415">
        <f>SUM(J5:J9)</f>
        <v>152991282.41373017</v>
      </c>
      <c r="K10" s="74"/>
    </row>
    <row r="11" spans="1:18" x14ac:dyDescent="0.25">
      <c r="A11" s="268"/>
      <c r="B11" s="273"/>
      <c r="C11" s="274"/>
      <c r="D11" s="277"/>
      <c r="E11" s="277"/>
      <c r="F11" s="278"/>
      <c r="G11" s="278"/>
      <c r="H11" s="278"/>
      <c r="I11" s="278"/>
      <c r="J11" s="419"/>
    </row>
    <row r="12" spans="1:18" ht="15.75" thickBot="1" x14ac:dyDescent="0.3">
      <c r="A12" s="279" t="s">
        <v>190</v>
      </c>
      <c r="B12" s="310">
        <v>45419637</v>
      </c>
      <c r="C12" s="310">
        <v>39561825</v>
      </c>
      <c r="D12" s="357"/>
      <c r="E12" s="357"/>
      <c r="F12" s="357"/>
      <c r="G12" s="357"/>
      <c r="H12" s="357"/>
      <c r="I12" s="357"/>
      <c r="J12" s="421">
        <f>J5+J6+J7</f>
        <v>142999937.41373017</v>
      </c>
      <c r="K12" s="74"/>
    </row>
    <row r="13" spans="1:18" ht="15.75" thickBot="1" x14ac:dyDescent="0.3">
      <c r="A13" s="311" t="s">
        <v>236</v>
      </c>
      <c r="B13" s="280"/>
      <c r="C13" s="281"/>
      <c r="D13" s="357"/>
      <c r="E13" s="358"/>
      <c r="F13" s="358"/>
      <c r="G13" s="358"/>
      <c r="H13" s="358"/>
      <c r="I13" s="358"/>
      <c r="J13" s="419"/>
      <c r="K13" s="74"/>
    </row>
    <row r="14" spans="1:18" x14ac:dyDescent="0.25">
      <c r="A14" s="264"/>
      <c r="B14" s="265" t="s">
        <v>183</v>
      </c>
      <c r="C14" s="266" t="s">
        <v>184</v>
      </c>
      <c r="D14" s="267" t="s">
        <v>184</v>
      </c>
      <c r="E14" s="267" t="s">
        <v>184</v>
      </c>
      <c r="F14" s="267" t="s">
        <v>184</v>
      </c>
      <c r="G14" s="267" t="s">
        <v>184</v>
      </c>
      <c r="H14" s="267" t="s">
        <v>184</v>
      </c>
      <c r="I14" s="267" t="s">
        <v>184</v>
      </c>
      <c r="J14" s="418" t="s">
        <v>184</v>
      </c>
    </row>
    <row r="15" spans="1:18" x14ac:dyDescent="0.25">
      <c r="A15" s="268"/>
      <c r="B15" s="416"/>
      <c r="C15" s="417"/>
      <c r="D15" s="356"/>
      <c r="E15" s="356"/>
      <c r="F15" s="356"/>
      <c r="G15" s="356"/>
      <c r="H15" s="356"/>
      <c r="I15" s="356"/>
      <c r="J15" s="418"/>
    </row>
    <row r="16" spans="1:18" x14ac:dyDescent="0.25">
      <c r="A16" s="268"/>
      <c r="B16" s="269" t="s">
        <v>185</v>
      </c>
      <c r="C16" s="270" t="s">
        <v>185</v>
      </c>
      <c r="D16" s="64" t="s">
        <v>3</v>
      </c>
      <c r="E16" s="64" t="s">
        <v>4</v>
      </c>
      <c r="F16" s="64" t="s">
        <v>5</v>
      </c>
      <c r="G16" s="64" t="s">
        <v>6</v>
      </c>
      <c r="H16" s="64" t="s">
        <v>7</v>
      </c>
      <c r="I16" s="64" t="s">
        <v>8</v>
      </c>
      <c r="J16" s="363" t="s">
        <v>270</v>
      </c>
    </row>
    <row r="17" spans="1:18" ht="14.45" x14ac:dyDescent="0.3">
      <c r="A17" s="271" t="s">
        <v>234</v>
      </c>
      <c r="B17" s="282"/>
      <c r="C17" s="283"/>
      <c r="D17" s="284"/>
      <c r="E17" s="284"/>
      <c r="F17" s="284"/>
      <c r="G17" s="284"/>
      <c r="H17" s="285"/>
      <c r="I17" s="276"/>
      <c r="J17" s="364"/>
      <c r="L17" s="3" t="s">
        <v>191</v>
      </c>
    </row>
    <row r="18" spans="1:18" ht="14.45" x14ac:dyDescent="0.3">
      <c r="A18" s="268" t="s">
        <v>192</v>
      </c>
      <c r="B18" s="286">
        <v>4869024.2625563294</v>
      </c>
      <c r="C18" s="287">
        <v>5043859.7065271363</v>
      </c>
      <c r="D18" s="276">
        <f>'Meter Reading'!H27-'Meter Reading'!H22-D19</f>
        <v>3813508.8776896307</v>
      </c>
      <c r="E18" s="276">
        <f>'Meter Reading'!I27-'Meter Reading'!I22-E19</f>
        <v>3069351.1207560282</v>
      </c>
      <c r="F18" s="276"/>
      <c r="G18" s="276"/>
      <c r="H18" s="276"/>
      <c r="I18" s="276"/>
      <c r="J18" s="364"/>
      <c r="M18" s="3"/>
      <c r="N18" s="5" t="s">
        <v>4</v>
      </c>
      <c r="O18" s="5" t="s">
        <v>5</v>
      </c>
      <c r="P18" s="5" t="s">
        <v>6</v>
      </c>
      <c r="Q18" s="5" t="s">
        <v>7</v>
      </c>
      <c r="R18" s="5" t="s">
        <v>8</v>
      </c>
    </row>
    <row r="19" spans="1:18" ht="14.45" x14ac:dyDescent="0.3">
      <c r="A19" s="272" t="s">
        <v>238</v>
      </c>
      <c r="B19" s="288">
        <v>0</v>
      </c>
      <c r="C19" s="289">
        <v>0</v>
      </c>
      <c r="D19" s="290">
        <f>F19</f>
        <v>1414992.0006216753</v>
      </c>
      <c r="E19" s="290">
        <f>F19</f>
        <v>1414992.0006216753</v>
      </c>
      <c r="F19" s="290">
        <f>'Meter Reading'!J19+'Meter Reading'!J20+'Meter Reading'!J23+'Meter Reading'!J24+'Meter Reading'!J25</f>
        <v>1414992.0006216753</v>
      </c>
      <c r="G19" s="290">
        <f>'Meter Reading'!K19+'Meter Reading'!K20+'Meter Reading'!K23+'Meter Reading'!K24+'Meter Reading'!K25</f>
        <v>809432.69351682405</v>
      </c>
      <c r="H19" s="290">
        <f>'Meter Reading'!L19+'Meter Reading'!L20+'Meter Reading'!L23+'Meter Reading'!L24+'Meter Reading'!L25</f>
        <v>766935.46957285167</v>
      </c>
      <c r="I19" s="290">
        <f>'Meter Reading'!M19+'Meter Reading'!M20+'Meter Reading'!M23+'Meter Reading'!M24+'Meter Reading'!M25</f>
        <v>766935.46957285167</v>
      </c>
      <c r="J19" s="372">
        <f t="shared" ref="J19:J22" si="0">SUM(E19:I19)</f>
        <v>5173287.6339058774</v>
      </c>
      <c r="K19" s="74"/>
      <c r="L19" t="s">
        <v>193</v>
      </c>
      <c r="M19" s="261"/>
      <c r="N19" s="261">
        <f t="shared" ref="N19:R21" si="1">ROUND(E19/1000000,1)</f>
        <v>1.4</v>
      </c>
      <c r="O19" s="261">
        <f t="shared" si="1"/>
        <v>1.4</v>
      </c>
      <c r="P19" s="261">
        <f t="shared" si="1"/>
        <v>0.8</v>
      </c>
      <c r="Q19" s="261">
        <f t="shared" si="1"/>
        <v>0.8</v>
      </c>
      <c r="R19" s="261">
        <f t="shared" si="1"/>
        <v>0.8</v>
      </c>
    </row>
    <row r="20" spans="1:18" ht="14.45" x14ac:dyDescent="0.3">
      <c r="A20" s="272" t="s">
        <v>194</v>
      </c>
      <c r="B20" s="288">
        <v>5010197.1262560003</v>
      </c>
      <c r="C20" s="289">
        <v>5190101.7625270737</v>
      </c>
      <c r="D20" s="291">
        <f>'Meter data management'!B13</f>
        <v>4337230.0552008813</v>
      </c>
      <c r="E20" s="290">
        <f>'Meter data management'!D13</f>
        <v>4238103.617019657</v>
      </c>
      <c r="F20" s="290">
        <f>'Meter data management'!F13</f>
        <v>3441262.4756491282</v>
      </c>
      <c r="G20" s="290">
        <f>'Meter data management'!H13</f>
        <v>3564255.5175505388</v>
      </c>
      <c r="H20" s="290">
        <f>'Meter data management'!J13</f>
        <v>3770587.0663566492</v>
      </c>
      <c r="I20" s="290">
        <f>'Meter data management'!L13</f>
        <v>3860018.7086200137</v>
      </c>
      <c r="J20" s="372">
        <f t="shared" si="0"/>
        <v>18874227.385195985</v>
      </c>
      <c r="K20" s="74"/>
      <c r="L20" t="s">
        <v>194</v>
      </c>
      <c r="M20" s="261"/>
      <c r="N20" s="261">
        <f t="shared" si="1"/>
        <v>4.2</v>
      </c>
      <c r="O20" s="261">
        <f t="shared" si="1"/>
        <v>3.4</v>
      </c>
      <c r="P20" s="261">
        <f t="shared" si="1"/>
        <v>3.6</v>
      </c>
      <c r="Q20" s="261">
        <f t="shared" si="1"/>
        <v>3.8</v>
      </c>
      <c r="R20" s="261">
        <f t="shared" si="1"/>
        <v>3.9</v>
      </c>
    </row>
    <row r="21" spans="1:18" ht="14.45" x14ac:dyDescent="0.3">
      <c r="A21" s="272" t="s">
        <v>195</v>
      </c>
      <c r="B21" s="288">
        <v>894631.24420934869</v>
      </c>
      <c r="C21" s="289">
        <v>926755.39113018918</v>
      </c>
      <c r="D21" s="290">
        <f>'Meter Reading'!H22+'Meter Asset Management'!C34+'Meter Asset Management'!C35</f>
        <v>2454635.2941176472</v>
      </c>
      <c r="E21" s="290">
        <f>'Meter Reading'!I22+'Meter Asset Management'!D34+'Meter Asset Management'!D35</f>
        <v>2454635.2941176472</v>
      </c>
      <c r="F21" s="290">
        <f>'Meter Reading'!J22+'Meter Asset Management'!E34+'Meter Asset Management'!E35</f>
        <v>2342766.505058385</v>
      </c>
      <c r="G21" s="290">
        <f>'Meter Reading'!K22+'Meter Asset Management'!F34+'Meter Asset Management'!F35</f>
        <v>2022002.6624857653</v>
      </c>
      <c r="H21" s="290">
        <f>'Meter Reading'!L22+'Meter Asset Management'!G34+'Meter Asset Management'!G35</f>
        <v>2024563.4768857067</v>
      </c>
      <c r="I21" s="290">
        <f>'Meter Reading'!M22+'Meter Asset Management'!H34+'Meter Asset Management'!H35</f>
        <v>2027124.2912856482</v>
      </c>
      <c r="J21" s="372">
        <f t="shared" si="0"/>
        <v>10871092.229833152</v>
      </c>
      <c r="K21" s="74"/>
      <c r="L21" t="s">
        <v>195</v>
      </c>
      <c r="M21" s="261"/>
      <c r="N21" s="261">
        <f>ROUND(E21/1000000,1)</f>
        <v>2.5</v>
      </c>
      <c r="O21" s="261">
        <f t="shared" si="1"/>
        <v>2.2999999999999998</v>
      </c>
      <c r="P21" s="261">
        <f t="shared" si="1"/>
        <v>2</v>
      </c>
      <c r="Q21" s="261">
        <f t="shared" si="1"/>
        <v>2</v>
      </c>
      <c r="R21" s="261">
        <f t="shared" si="1"/>
        <v>2</v>
      </c>
    </row>
    <row r="22" spans="1:18" ht="14.45" x14ac:dyDescent="0.3">
      <c r="A22" s="73" t="s">
        <v>273</v>
      </c>
      <c r="B22" s="288">
        <v>924325.17871355033</v>
      </c>
      <c r="C22" s="289">
        <v>957515.56641330954</v>
      </c>
      <c r="D22" s="290">
        <f>'IT &amp; Comms opex'!E37</f>
        <v>3351846.9999999991</v>
      </c>
      <c r="E22" s="290">
        <f>'IT &amp; Comms opex'!F37</f>
        <v>3351846.9999999991</v>
      </c>
      <c r="F22" s="290">
        <f>'IT &amp; Comms opex'!G37</f>
        <v>3451846.9999999991</v>
      </c>
      <c r="G22" s="290">
        <f>'IT &amp; Comms opex'!H37</f>
        <v>3451846.9999999991</v>
      </c>
      <c r="H22" s="290">
        <f>'IT &amp; Comms opex'!I37</f>
        <v>3451846.9999999991</v>
      </c>
      <c r="I22" s="290">
        <f>'IT &amp; Comms opex'!J37</f>
        <v>3451846.9999999991</v>
      </c>
      <c r="J22" s="372">
        <f t="shared" si="0"/>
        <v>17159234.999999996</v>
      </c>
      <c r="K22" s="74"/>
      <c r="L22" t="s">
        <v>196</v>
      </c>
      <c r="M22" s="261"/>
      <c r="N22" s="261">
        <f>ROUND(E23/1000000,1)</f>
        <v>0.3</v>
      </c>
      <c r="O22" s="261">
        <f>ROUND(F23/1000000,1)</f>
        <v>0.3</v>
      </c>
      <c r="P22" s="261">
        <f>ROUND(G23/1000000,1)</f>
        <v>0.3</v>
      </c>
      <c r="Q22" s="261">
        <f>ROUND(H23/1000000,1)</f>
        <v>0.3</v>
      </c>
      <c r="R22" s="261">
        <f>ROUND(I23/1000000,1)</f>
        <v>0.3</v>
      </c>
    </row>
    <row r="23" spans="1:18" ht="14.45" x14ac:dyDescent="0.3">
      <c r="A23" s="272" t="s">
        <v>198</v>
      </c>
      <c r="B23" s="288">
        <v>296875.60886605846</v>
      </c>
      <c r="C23" s="289">
        <v>307535.72803600284</v>
      </c>
      <c r="D23" s="290">
        <f t="shared" ref="D23:I23" si="2">C23</f>
        <v>307535.72803600284</v>
      </c>
      <c r="E23" s="290">
        <f t="shared" si="2"/>
        <v>307535.72803600284</v>
      </c>
      <c r="F23" s="290">
        <f t="shared" si="2"/>
        <v>307535.72803600284</v>
      </c>
      <c r="G23" s="290">
        <f t="shared" si="2"/>
        <v>307535.72803600284</v>
      </c>
      <c r="H23" s="290">
        <f t="shared" si="2"/>
        <v>307535.72803600284</v>
      </c>
      <c r="I23" s="290">
        <f t="shared" si="2"/>
        <v>307535.72803600284</v>
      </c>
      <c r="J23" s="372">
        <f>SUM(E23:I23)</f>
        <v>1537678.6401800141</v>
      </c>
      <c r="K23" s="74"/>
      <c r="L23" t="s">
        <v>197</v>
      </c>
      <c r="M23" s="261"/>
      <c r="N23" s="261">
        <f>ROUND(E22/1000000,1)</f>
        <v>3.4</v>
      </c>
      <c r="O23" s="261">
        <f t="shared" ref="O23:R23" si="3">ROUND(F22/1000000,1)</f>
        <v>3.5</v>
      </c>
      <c r="P23" s="261">
        <f t="shared" si="3"/>
        <v>3.5</v>
      </c>
      <c r="Q23" s="261">
        <f t="shared" si="3"/>
        <v>3.5</v>
      </c>
      <c r="R23" s="261">
        <f t="shared" si="3"/>
        <v>3.5</v>
      </c>
    </row>
    <row r="24" spans="1:18" ht="14.45" x14ac:dyDescent="0.3">
      <c r="A24" s="268" t="s">
        <v>277</v>
      </c>
      <c r="B24" s="286">
        <v>23365047.436474804</v>
      </c>
      <c r="C24" s="287">
        <v>24204032.461332805</v>
      </c>
      <c r="D24" s="276"/>
      <c r="E24" s="276"/>
      <c r="F24" s="276"/>
      <c r="G24" s="276"/>
      <c r="H24" s="276"/>
      <c r="I24" s="276"/>
      <c r="J24" s="372">
        <f>SUM(E24:I24)</f>
        <v>0</v>
      </c>
      <c r="K24" s="74"/>
      <c r="M24" s="262"/>
      <c r="N24" s="262">
        <f>SUM(N19:N23)</f>
        <v>11.8</v>
      </c>
      <c r="O24" s="262">
        <f>SUM(O19:O23)</f>
        <v>10.899999999999999</v>
      </c>
      <c r="P24" s="262">
        <f>SUM(P19:P23)</f>
        <v>10.199999999999999</v>
      </c>
      <c r="Q24" s="262">
        <f>SUM(Q19:Q23)</f>
        <v>10.399999999999999</v>
      </c>
      <c r="R24" s="262">
        <f>SUM(R19:R23)</f>
        <v>10.5</v>
      </c>
    </row>
    <row r="25" spans="1:18" ht="14.45" x14ac:dyDescent="0.3">
      <c r="A25" s="268" t="s">
        <v>30</v>
      </c>
      <c r="B25" s="286">
        <v>2508764.5397629491</v>
      </c>
      <c r="C25" s="287">
        <v>2598848.4946737401</v>
      </c>
      <c r="D25" s="276"/>
      <c r="E25" s="276"/>
      <c r="F25" s="276"/>
      <c r="G25" s="276"/>
      <c r="H25" s="276"/>
      <c r="I25" s="276"/>
      <c r="J25" s="372">
        <f>SUM(E25:I25)</f>
        <v>0</v>
      </c>
      <c r="K25" s="74"/>
    </row>
    <row r="26" spans="1:18" ht="14.45" x14ac:dyDescent="0.3">
      <c r="A26" s="268" t="s">
        <v>199</v>
      </c>
      <c r="B26" s="286">
        <v>468931.06999999995</v>
      </c>
      <c r="C26" s="287">
        <v>485769.30439649714</v>
      </c>
      <c r="D26" s="276"/>
      <c r="E26" s="276"/>
      <c r="F26" s="276"/>
      <c r="G26" s="276"/>
      <c r="H26" s="276"/>
      <c r="I26" s="276"/>
      <c r="J26" s="372">
        <f>SUM(E26:I26)</f>
        <v>0</v>
      </c>
      <c r="K26" s="74"/>
    </row>
    <row r="27" spans="1:18" ht="14.45" x14ac:dyDescent="0.3">
      <c r="A27" s="268" t="s">
        <v>73</v>
      </c>
      <c r="B27" s="286">
        <v>8475674.9403986651</v>
      </c>
      <c r="C27" s="287">
        <v>8780016.901179703</v>
      </c>
      <c r="D27" s="276">
        <v>0</v>
      </c>
      <c r="E27" s="276">
        <v>0</v>
      </c>
      <c r="F27" s="276">
        <v>0</v>
      </c>
      <c r="G27" s="276">
        <v>0</v>
      </c>
      <c r="H27" s="276">
        <v>0</v>
      </c>
      <c r="I27" s="276">
        <v>0</v>
      </c>
      <c r="J27" s="372">
        <f>SUM(E27:I27)</f>
        <v>0</v>
      </c>
      <c r="K27" s="74"/>
    </row>
    <row r="28" spans="1:18" ht="14.45" x14ac:dyDescent="0.3">
      <c r="A28" s="268" t="s">
        <v>276</v>
      </c>
      <c r="B28" s="286"/>
      <c r="C28" s="287"/>
      <c r="D28" s="367"/>
      <c r="E28" s="367"/>
      <c r="F28" s="367"/>
      <c r="G28" s="367"/>
      <c r="H28" s="367"/>
      <c r="I28" s="367"/>
      <c r="J28" s="374"/>
      <c r="K28" s="74"/>
    </row>
    <row r="29" spans="1:18" ht="14.45" x14ac:dyDescent="0.3">
      <c r="A29" s="275"/>
      <c r="B29" s="282"/>
      <c r="C29" s="283"/>
      <c r="D29" s="66"/>
      <c r="E29" s="66"/>
      <c r="F29" s="66"/>
      <c r="G29" s="66"/>
      <c r="H29" s="66"/>
      <c r="I29" s="66"/>
      <c r="J29" s="373"/>
    </row>
    <row r="30" spans="1:18" ht="14.45" x14ac:dyDescent="0.3">
      <c r="A30" s="268"/>
      <c r="B30" s="282"/>
      <c r="C30" s="283"/>
      <c r="D30" s="276"/>
      <c r="E30" s="276"/>
      <c r="F30" s="66"/>
      <c r="G30" s="66"/>
      <c r="H30" s="66"/>
      <c r="I30" s="66"/>
      <c r="J30" s="373"/>
    </row>
    <row r="31" spans="1:18" ht="14.45" x14ac:dyDescent="0.3">
      <c r="A31" s="279" t="s">
        <v>200</v>
      </c>
      <c r="B31" s="292">
        <f>SUM(B18:B30)</f>
        <v>46813471.407237709</v>
      </c>
      <c r="C31" s="292">
        <f>SUM(C18:C30)</f>
        <v>48494435.316216454</v>
      </c>
      <c r="D31" s="368"/>
      <c r="E31" s="368"/>
      <c r="F31" s="368"/>
      <c r="G31" s="368"/>
      <c r="H31" s="368"/>
      <c r="I31" s="368"/>
      <c r="J31" s="374"/>
    </row>
    <row r="32" spans="1:18" ht="14.45" x14ac:dyDescent="0.3">
      <c r="A32" s="279" t="s">
        <v>235</v>
      </c>
      <c r="B32" s="293"/>
      <c r="C32" s="294"/>
      <c r="D32" s="295">
        <f t="shared" ref="D32:I32" si="4">SUM(D19:D22,D23)</f>
        <v>11866240.077976206</v>
      </c>
      <c r="E32" s="295">
        <f t="shared" si="4"/>
        <v>11767113.639794981</v>
      </c>
      <c r="F32" s="295">
        <f t="shared" si="4"/>
        <v>10958403.709365191</v>
      </c>
      <c r="G32" s="295">
        <f t="shared" si="4"/>
        <v>10155073.60158913</v>
      </c>
      <c r="H32" s="295">
        <f t="shared" si="4"/>
        <v>10321468.74085121</v>
      </c>
      <c r="I32" s="295">
        <f t="shared" si="4"/>
        <v>10413461.197514515</v>
      </c>
      <c r="J32" s="372">
        <f t="shared" ref="J32" si="5">SUM(E32:I32)</f>
        <v>53615520.889115021</v>
      </c>
    </row>
    <row r="33" spans="1:11" thickBot="1" x14ac:dyDescent="0.35">
      <c r="A33" s="311" t="s">
        <v>237</v>
      </c>
      <c r="B33" s="296"/>
      <c r="C33" s="297"/>
      <c r="D33" s="369"/>
      <c r="E33" s="370"/>
      <c r="F33" s="370"/>
      <c r="G33" s="370"/>
      <c r="H33" s="370"/>
      <c r="I33" s="370"/>
      <c r="J33" s="371"/>
      <c r="K33" s="74"/>
    </row>
    <row r="34" spans="1:11" ht="14.45" x14ac:dyDescent="0.3">
      <c r="K34" s="74"/>
    </row>
    <row r="35" spans="1:11" ht="14.45" x14ac:dyDescent="0.3">
      <c r="B35" s="7"/>
      <c r="C35" s="7"/>
      <c r="K35" s="74"/>
    </row>
    <row r="38" spans="1:11" ht="14.45" x14ac:dyDescent="0.3">
      <c r="A38" s="21" t="s">
        <v>201</v>
      </c>
    </row>
    <row r="39" spans="1:11" ht="14.45" x14ac:dyDescent="0.3">
      <c r="A39" t="s">
        <v>232</v>
      </c>
    </row>
    <row r="43" spans="1:11" x14ac:dyDescent="0.25">
      <c r="A43" s="3" t="s">
        <v>168</v>
      </c>
    </row>
    <row r="44" spans="1:11" x14ac:dyDescent="0.25">
      <c r="A44" t="s">
        <v>233</v>
      </c>
    </row>
  </sheetData>
  <pageMargins left="0.25" right="0.25" top="0.75" bottom="0.75" header="0.3" footer="0.3"/>
  <pageSetup paperSize="9" scale="38" orientation="portrait" r:id="rId1"/>
  <ignoredErrors>
    <ignoredError sqref="J27"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5"/>
  <sheetViews>
    <sheetView tabSelected="1" workbookViewId="0">
      <selection activeCell="C18" sqref="C18"/>
    </sheetView>
  </sheetViews>
  <sheetFormatPr defaultRowHeight="15" x14ac:dyDescent="0.25"/>
  <cols>
    <col min="1" max="1" width="38" customWidth="1"/>
    <col min="2" max="2" width="36.28515625" customWidth="1"/>
    <col min="3" max="3" width="17.140625" customWidth="1"/>
    <col min="4" max="4" width="13.85546875" style="7" bestFit="1" customWidth="1"/>
    <col min="5" max="5" width="14.7109375" style="7" bestFit="1" customWidth="1"/>
    <col min="6" max="7" width="13.85546875" style="7" bestFit="1" customWidth="1"/>
    <col min="8" max="8" width="11.28515625" style="7" bestFit="1" customWidth="1"/>
    <col min="9" max="9" width="12.7109375" style="7" bestFit="1" customWidth="1"/>
    <col min="10" max="10" width="13.7109375" bestFit="1" customWidth="1"/>
    <col min="11" max="13" width="12.5703125" bestFit="1" customWidth="1"/>
    <col min="15" max="19" width="10.42578125" bestFit="1" customWidth="1"/>
  </cols>
  <sheetData>
    <row r="1" spans="1:11" ht="14.45" x14ac:dyDescent="0.3">
      <c r="A1" s="3"/>
      <c r="J1" s="5"/>
    </row>
    <row r="2" spans="1:11" thickBot="1" x14ac:dyDescent="0.35">
      <c r="A2" t="s">
        <v>184</v>
      </c>
    </row>
    <row r="3" spans="1:11" ht="14.45" x14ac:dyDescent="0.3">
      <c r="A3" s="8" t="s">
        <v>278</v>
      </c>
      <c r="B3" s="9"/>
      <c r="C3" s="9"/>
      <c r="D3" s="10" t="s">
        <v>3</v>
      </c>
      <c r="E3" s="10" t="s">
        <v>4</v>
      </c>
      <c r="F3" s="10" t="s">
        <v>5</v>
      </c>
      <c r="G3" s="10" t="s">
        <v>6</v>
      </c>
      <c r="H3" s="10" t="s">
        <v>7</v>
      </c>
      <c r="I3" s="10" t="s">
        <v>8</v>
      </c>
      <c r="J3" s="385" t="s">
        <v>270</v>
      </c>
      <c r="K3" s="260" t="s">
        <v>168</v>
      </c>
    </row>
    <row r="4" spans="1:11" ht="14.45" x14ac:dyDescent="0.3">
      <c r="A4" s="75"/>
      <c r="B4" s="34"/>
      <c r="C4" s="34"/>
      <c r="D4" s="128"/>
      <c r="E4" s="128"/>
      <c r="F4" s="128"/>
      <c r="G4" s="128"/>
      <c r="H4" s="128"/>
      <c r="I4" s="128"/>
      <c r="J4" s="364"/>
    </row>
    <row r="5" spans="1:11" ht="14.45" x14ac:dyDescent="0.3">
      <c r="A5" s="344" t="s">
        <v>308</v>
      </c>
      <c r="B5" s="34"/>
      <c r="C5" s="34"/>
      <c r="D5" s="379"/>
      <c r="E5" s="379"/>
      <c r="F5" s="379"/>
      <c r="G5" s="379"/>
      <c r="H5" s="379"/>
      <c r="I5" s="379"/>
      <c r="J5" s="425">
        <v>39730301.673993163</v>
      </c>
    </row>
    <row r="6" spans="1:11" ht="14.45" x14ac:dyDescent="0.3">
      <c r="A6" s="344" t="s">
        <v>309</v>
      </c>
      <c r="B6" s="34"/>
      <c r="C6" s="34"/>
      <c r="D6" s="380"/>
      <c r="E6" s="380"/>
      <c r="F6" s="380"/>
      <c r="G6" s="380"/>
      <c r="H6" s="380"/>
      <c r="I6" s="380"/>
      <c r="J6" s="425">
        <v>5623624.8834421197</v>
      </c>
    </row>
    <row r="7" spans="1:11" ht="14.45" x14ac:dyDescent="0.3">
      <c r="A7" s="344" t="s">
        <v>310</v>
      </c>
      <c r="B7" s="34"/>
      <c r="C7" s="34"/>
      <c r="D7" s="379"/>
      <c r="E7" s="379"/>
      <c r="F7" s="379"/>
      <c r="G7" s="379"/>
      <c r="H7" s="379"/>
      <c r="I7" s="426"/>
      <c r="J7" s="425">
        <v>1807943.2529639001</v>
      </c>
    </row>
    <row r="8" spans="1:11" ht="14.45" x14ac:dyDescent="0.3">
      <c r="A8" s="424" t="s">
        <v>311</v>
      </c>
      <c r="B8" s="34"/>
      <c r="C8" s="34"/>
      <c r="D8" s="377"/>
      <c r="E8" s="377"/>
      <c r="F8" s="377"/>
      <c r="G8" s="377"/>
      <c r="H8" s="377"/>
      <c r="I8" s="427"/>
      <c r="J8" s="425">
        <v>1987394.6731495049</v>
      </c>
    </row>
    <row r="9" spans="1:11" ht="14.45" x14ac:dyDescent="0.3">
      <c r="A9" s="344" t="s">
        <v>312</v>
      </c>
      <c r="B9" s="34"/>
      <c r="C9" s="34"/>
      <c r="D9" s="379"/>
      <c r="E9" s="379"/>
      <c r="F9" s="379"/>
      <c r="G9" s="379"/>
      <c r="H9" s="379"/>
      <c r="I9" s="426"/>
      <c r="J9" s="425">
        <v>219654.47715465567</v>
      </c>
    </row>
    <row r="10" spans="1:11" ht="14.45" x14ac:dyDescent="0.3">
      <c r="A10" s="344" t="s">
        <v>313</v>
      </c>
      <c r="B10" s="34"/>
      <c r="C10" s="34"/>
      <c r="D10" s="380"/>
      <c r="E10" s="380"/>
      <c r="F10" s="380"/>
      <c r="G10" s="380"/>
      <c r="H10" s="380"/>
      <c r="I10" s="428"/>
      <c r="J10" s="425">
        <v>70616.877580924483</v>
      </c>
    </row>
    <row r="11" spans="1:11" ht="14.45" x14ac:dyDescent="0.3">
      <c r="A11" s="344" t="s">
        <v>314</v>
      </c>
      <c r="B11" s="34"/>
      <c r="C11" s="34"/>
      <c r="D11" s="379"/>
      <c r="E11" s="379"/>
      <c r="F11" s="379"/>
      <c r="G11" s="379"/>
      <c r="H11" s="379"/>
      <c r="I11" s="426"/>
      <c r="J11" s="425">
        <v>4213972.9585720003</v>
      </c>
    </row>
    <row r="12" spans="1:11" ht="14.45" x14ac:dyDescent="0.3">
      <c r="A12" s="424" t="s">
        <v>315</v>
      </c>
      <c r="B12" s="34"/>
      <c r="C12" s="34"/>
      <c r="D12" s="377"/>
      <c r="E12" s="377"/>
      <c r="F12" s="377"/>
      <c r="G12" s="377"/>
      <c r="H12" s="377"/>
      <c r="I12" s="427"/>
      <c r="J12" s="425">
        <v>261080.32502997201</v>
      </c>
    </row>
    <row r="13" spans="1:11" ht="14.45" x14ac:dyDescent="0.3">
      <c r="A13" s="344" t="s">
        <v>316</v>
      </c>
      <c r="B13" s="34"/>
      <c r="C13" s="34"/>
      <c r="D13" s="379"/>
      <c r="E13" s="379"/>
      <c r="F13" s="379"/>
      <c r="G13" s="379"/>
      <c r="H13" s="377"/>
      <c r="I13" s="426"/>
      <c r="J13" s="425">
        <v>31800050.400000002</v>
      </c>
    </row>
    <row r="14" spans="1:11" ht="14.45" x14ac:dyDescent="0.3">
      <c r="A14" s="344" t="s">
        <v>317</v>
      </c>
      <c r="B14" s="34"/>
      <c r="C14" s="34"/>
      <c r="D14" s="380"/>
      <c r="E14" s="380"/>
      <c r="F14" s="380"/>
      <c r="G14" s="380"/>
      <c r="H14" s="380"/>
      <c r="I14" s="428"/>
      <c r="J14" s="425">
        <v>1007556.0000000001</v>
      </c>
    </row>
    <row r="15" spans="1:11" ht="14.45" x14ac:dyDescent="0.3">
      <c r="A15" s="344" t="s">
        <v>318</v>
      </c>
      <c r="B15" s="34"/>
      <c r="C15" s="34"/>
      <c r="D15" s="379"/>
      <c r="E15" s="379"/>
      <c r="F15" s="379"/>
      <c r="G15" s="379"/>
      <c r="H15" s="379"/>
      <c r="I15" s="426"/>
      <c r="J15" s="425">
        <v>62424</v>
      </c>
    </row>
    <row r="16" spans="1:11" ht="14.45" x14ac:dyDescent="0.3">
      <c r="A16" s="344"/>
      <c r="B16" s="34"/>
      <c r="C16" s="34"/>
      <c r="D16" s="422"/>
      <c r="E16" s="422"/>
      <c r="F16" s="422"/>
      <c r="G16" s="422"/>
      <c r="H16" s="422"/>
      <c r="I16" s="423"/>
      <c r="J16" s="364"/>
    </row>
    <row r="17" spans="1:20" ht="14.45" x14ac:dyDescent="0.3">
      <c r="A17" s="14"/>
      <c r="B17" s="12"/>
      <c r="C17" s="12"/>
      <c r="D17" s="13"/>
      <c r="E17" s="13"/>
      <c r="F17" s="13"/>
      <c r="G17" s="13"/>
      <c r="H17" s="13"/>
      <c r="I17" s="13"/>
      <c r="J17" s="364"/>
    </row>
    <row r="18" spans="1:20" ht="14.45" x14ac:dyDescent="0.3">
      <c r="A18" s="14"/>
      <c r="B18" s="12"/>
      <c r="C18" s="12"/>
      <c r="D18" s="13"/>
      <c r="E18" s="13"/>
      <c r="F18" s="13"/>
      <c r="G18" s="13"/>
      <c r="H18" s="13"/>
      <c r="I18" s="13"/>
      <c r="J18" s="364"/>
    </row>
    <row r="19" spans="1:20" thickBot="1" x14ac:dyDescent="0.35">
      <c r="A19" s="16" t="s">
        <v>280</v>
      </c>
      <c r="B19" s="12"/>
      <c r="C19" s="12"/>
      <c r="D19" s="383"/>
      <c r="E19" s="383"/>
      <c r="F19" s="383"/>
      <c r="G19" s="383"/>
      <c r="H19" s="383"/>
      <c r="I19" s="383"/>
      <c r="J19" s="388">
        <f>SUM(J5:J18)</f>
        <v>86784619.521886244</v>
      </c>
    </row>
    <row r="20" spans="1:20" ht="14.45" x14ac:dyDescent="0.3">
      <c r="A20" s="11" t="s">
        <v>10</v>
      </c>
      <c r="B20" s="12"/>
      <c r="C20" s="12"/>
      <c r="D20" s="384"/>
      <c r="E20" s="384"/>
      <c r="F20" s="384"/>
      <c r="G20" s="384"/>
      <c r="H20" s="384"/>
      <c r="I20" s="384"/>
      <c r="J20" s="386">
        <v>53914589.121886238</v>
      </c>
    </row>
    <row r="21" spans="1:20" ht="14.45" x14ac:dyDescent="0.3">
      <c r="A21" s="11" t="s">
        <v>0</v>
      </c>
      <c r="B21" s="12"/>
      <c r="C21" s="12"/>
      <c r="D21" s="384"/>
      <c r="E21" s="384"/>
      <c r="F21" s="384"/>
      <c r="G21" s="384"/>
      <c r="H21" s="384"/>
      <c r="I21" s="384"/>
      <c r="J21" s="386">
        <v>32870030.399999999</v>
      </c>
    </row>
    <row r="22" spans="1:20" thickBot="1" x14ac:dyDescent="0.35">
      <c r="A22" s="17"/>
      <c r="B22" s="18"/>
      <c r="C22" s="18"/>
      <c r="D22" s="19"/>
      <c r="E22" s="19"/>
      <c r="F22" s="19"/>
      <c r="G22" s="19"/>
      <c r="H22" s="19"/>
      <c r="I22" s="19"/>
      <c r="J22" s="364"/>
    </row>
    <row r="23" spans="1:20" s="349" customFormat="1" ht="14.45" x14ac:dyDescent="0.3">
      <c r="A23" s="429"/>
      <c r="B23" s="430"/>
      <c r="C23" s="430"/>
      <c r="D23" s="431"/>
      <c r="E23" s="431"/>
      <c r="F23" s="431"/>
      <c r="G23" s="431"/>
      <c r="H23" s="431"/>
      <c r="I23" s="431"/>
      <c r="J23" s="432"/>
      <c r="N23" s="389"/>
      <c r="O23" s="389"/>
      <c r="P23" s="389"/>
      <c r="Q23" s="389"/>
      <c r="R23" s="389"/>
      <c r="S23" s="389"/>
      <c r="T23" s="376"/>
    </row>
    <row r="24" spans="1:20" s="349" customFormat="1" ht="14.45" x14ac:dyDescent="0.3">
      <c r="A24" s="375"/>
      <c r="B24" s="376"/>
      <c r="C24" s="376"/>
      <c r="D24" s="457"/>
      <c r="E24" s="457"/>
      <c r="F24" s="389"/>
      <c r="G24" s="377"/>
      <c r="H24" s="377"/>
      <c r="I24" s="377"/>
      <c r="J24" s="432"/>
      <c r="N24" s="376"/>
      <c r="O24" s="376"/>
      <c r="P24" s="376"/>
      <c r="Q24" s="376"/>
      <c r="R24" s="376"/>
      <c r="S24" s="376"/>
      <c r="T24" s="376"/>
    </row>
    <row r="25" spans="1:20" s="349" customFormat="1" ht="14.45" x14ac:dyDescent="0.3">
      <c r="A25" s="378"/>
      <c r="B25" s="390"/>
      <c r="C25" s="390"/>
      <c r="D25" s="377"/>
      <c r="E25" s="377"/>
      <c r="F25" s="377"/>
      <c r="G25" s="377"/>
      <c r="H25" s="377"/>
      <c r="I25" s="377"/>
      <c r="J25" s="432"/>
    </row>
    <row r="26" spans="1:20" s="349" customFormat="1" ht="14.45" x14ac:dyDescent="0.3">
      <c r="A26" s="378"/>
      <c r="B26" s="376"/>
      <c r="C26" s="376"/>
      <c r="D26" s="379"/>
      <c r="E26" s="379"/>
      <c r="F26" s="379"/>
      <c r="G26" s="379"/>
      <c r="H26" s="379"/>
      <c r="I26" s="379"/>
      <c r="J26" s="432"/>
    </row>
    <row r="27" spans="1:20" s="349" customFormat="1" ht="14.45" x14ac:dyDescent="0.3">
      <c r="A27" s="378"/>
      <c r="B27" s="376"/>
      <c r="C27" s="376"/>
      <c r="D27" s="380"/>
      <c r="E27" s="380"/>
      <c r="F27" s="380"/>
      <c r="G27" s="380"/>
      <c r="H27" s="380"/>
      <c r="I27" s="380"/>
      <c r="J27" s="433"/>
    </row>
    <row r="28" spans="1:20" s="349" customFormat="1" ht="14.45" x14ac:dyDescent="0.3">
      <c r="A28" s="378"/>
      <c r="B28" s="376"/>
      <c r="C28" s="376"/>
      <c r="D28" s="381"/>
      <c r="E28" s="381"/>
      <c r="F28" s="381"/>
      <c r="G28" s="379"/>
      <c r="H28" s="379"/>
      <c r="I28" s="379"/>
      <c r="J28" s="432"/>
    </row>
    <row r="29" spans="1:20" s="349" customFormat="1" x14ac:dyDescent="0.25">
      <c r="A29" s="378"/>
      <c r="B29" s="376"/>
      <c r="C29" s="376"/>
      <c r="D29" s="379"/>
      <c r="E29" s="379"/>
      <c r="F29" s="379"/>
      <c r="G29" s="379"/>
      <c r="H29" s="379"/>
      <c r="I29" s="379"/>
      <c r="J29" s="432"/>
    </row>
    <row r="30" spans="1:20" s="349" customFormat="1" x14ac:dyDescent="0.25">
      <c r="A30" s="378"/>
      <c r="B30" s="390"/>
      <c r="C30" s="390"/>
      <c r="D30" s="379"/>
      <c r="E30" s="379"/>
      <c r="F30" s="379"/>
      <c r="G30" s="379"/>
      <c r="H30" s="379"/>
      <c r="I30" s="379"/>
      <c r="J30" s="432"/>
    </row>
    <row r="31" spans="1:20" s="349" customFormat="1" x14ac:dyDescent="0.25">
      <c r="A31" s="378"/>
      <c r="B31" s="376"/>
      <c r="C31" s="376"/>
      <c r="D31" s="379"/>
      <c r="E31" s="379"/>
      <c r="F31" s="379"/>
      <c r="G31" s="379"/>
      <c r="H31" s="379"/>
      <c r="I31" s="379"/>
      <c r="J31" s="432"/>
    </row>
    <row r="32" spans="1:20" s="349" customFormat="1" x14ac:dyDescent="0.25">
      <c r="A32" s="378"/>
      <c r="B32" s="376"/>
      <c r="C32" s="376"/>
      <c r="D32" s="380"/>
      <c r="E32" s="380"/>
      <c r="F32" s="380"/>
      <c r="G32" s="380"/>
      <c r="H32" s="380"/>
      <c r="I32" s="380"/>
      <c r="J32" s="432"/>
    </row>
    <row r="33" spans="1:10" s="349" customFormat="1" x14ac:dyDescent="0.25">
      <c r="A33" s="378"/>
      <c r="B33" s="376"/>
      <c r="C33" s="376"/>
      <c r="D33" s="381"/>
      <c r="E33" s="381"/>
      <c r="F33" s="381"/>
      <c r="G33" s="379"/>
      <c r="H33" s="379"/>
      <c r="I33" s="379"/>
      <c r="J33" s="432"/>
    </row>
    <row r="34" spans="1:10" s="349" customFormat="1" x14ac:dyDescent="0.25">
      <c r="A34" s="378"/>
      <c r="B34" s="390"/>
      <c r="C34" s="390"/>
      <c r="D34" s="379"/>
      <c r="E34" s="379"/>
      <c r="F34" s="379"/>
      <c r="G34" s="379"/>
      <c r="H34" s="379"/>
      <c r="I34" s="379"/>
      <c r="J34" s="432"/>
    </row>
    <row r="35" spans="1:10" s="349" customFormat="1" x14ac:dyDescent="0.25">
      <c r="A35" s="378"/>
      <c r="B35" s="390"/>
      <c r="C35" s="390"/>
      <c r="D35" s="379"/>
      <c r="E35" s="379"/>
      <c r="F35" s="379"/>
      <c r="G35" s="379"/>
      <c r="H35" s="379"/>
      <c r="I35" s="379"/>
      <c r="J35" s="432"/>
    </row>
    <row r="36" spans="1:10" s="349" customFormat="1" x14ac:dyDescent="0.25">
      <c r="A36" s="378"/>
      <c r="B36" s="391"/>
      <c r="C36" s="391"/>
      <c r="D36" s="379"/>
      <c r="E36" s="379"/>
      <c r="F36" s="379"/>
      <c r="G36" s="379"/>
      <c r="H36" s="379"/>
      <c r="I36" s="376"/>
      <c r="J36" s="432"/>
    </row>
    <row r="37" spans="1:10" s="349" customFormat="1" x14ac:dyDescent="0.25">
      <c r="A37" s="378"/>
      <c r="B37" s="391"/>
      <c r="C37" s="391"/>
      <c r="D37" s="379"/>
      <c r="E37" s="379"/>
      <c r="F37" s="379"/>
      <c r="G37" s="379"/>
      <c r="H37" s="379"/>
      <c r="I37" s="376"/>
      <c r="J37" s="432"/>
    </row>
    <row r="38" spans="1:10" s="349" customFormat="1" x14ac:dyDescent="0.25">
      <c r="A38" s="378"/>
      <c r="B38" s="390"/>
      <c r="C38" s="390"/>
      <c r="D38" s="379"/>
      <c r="E38" s="379"/>
      <c r="F38" s="379"/>
      <c r="G38" s="379"/>
      <c r="H38" s="379"/>
      <c r="I38" s="379"/>
      <c r="J38" s="432"/>
    </row>
    <row r="39" spans="1:10" s="349" customFormat="1" x14ac:dyDescent="0.25">
      <c r="A39" s="378"/>
      <c r="B39" s="376"/>
      <c r="C39" s="376"/>
      <c r="D39" s="377"/>
      <c r="E39" s="377"/>
      <c r="F39" s="377"/>
      <c r="G39" s="377"/>
      <c r="H39" s="377"/>
      <c r="I39" s="377"/>
      <c r="J39" s="432"/>
    </row>
    <row r="40" spans="1:10" s="349" customFormat="1" x14ac:dyDescent="0.25">
      <c r="A40" s="392"/>
      <c r="B40" s="376"/>
      <c r="C40" s="376"/>
      <c r="D40" s="393"/>
      <c r="E40" s="393"/>
      <c r="F40" s="393"/>
      <c r="G40" s="393"/>
      <c r="H40" s="393"/>
      <c r="I40" s="393"/>
      <c r="J40" s="432"/>
    </row>
    <row r="41" spans="1:10" s="349" customFormat="1" x14ac:dyDescent="0.25">
      <c r="A41" s="378"/>
      <c r="B41" s="376"/>
      <c r="C41" s="376"/>
      <c r="D41" s="379"/>
      <c r="E41" s="379"/>
      <c r="F41" s="379"/>
      <c r="G41" s="379"/>
      <c r="H41" s="379"/>
      <c r="I41" s="379"/>
      <c r="J41" s="432"/>
    </row>
    <row r="42" spans="1:10" s="349" customFormat="1" x14ac:dyDescent="0.25">
      <c r="A42" s="378"/>
      <c r="B42" s="376"/>
      <c r="C42" s="376"/>
      <c r="D42" s="379"/>
      <c r="E42" s="379"/>
      <c r="F42" s="379"/>
      <c r="G42" s="379"/>
      <c r="H42" s="379"/>
      <c r="I42" s="379"/>
      <c r="J42" s="432"/>
    </row>
    <row r="43" spans="1:10" s="349" customFormat="1" x14ac:dyDescent="0.25">
      <c r="A43" s="375"/>
      <c r="B43" s="376"/>
      <c r="C43" s="376"/>
      <c r="D43" s="379"/>
      <c r="E43" s="379"/>
      <c r="F43" s="379"/>
      <c r="G43" s="379"/>
      <c r="H43" s="379"/>
      <c r="I43" s="379"/>
      <c r="J43" s="432"/>
    </row>
    <row r="44" spans="1:10" s="349" customFormat="1" x14ac:dyDescent="0.25">
      <c r="A44" s="378"/>
      <c r="B44" s="390"/>
      <c r="C44" s="390"/>
      <c r="D44" s="379"/>
      <c r="E44" s="379"/>
      <c r="F44" s="379"/>
      <c r="G44" s="379"/>
      <c r="H44" s="379"/>
      <c r="I44" s="379"/>
      <c r="J44" s="432"/>
    </row>
    <row r="45" spans="1:10" s="349" customFormat="1" x14ac:dyDescent="0.25">
      <c r="A45" s="378"/>
      <c r="B45" s="376"/>
      <c r="C45" s="376"/>
      <c r="D45" s="379"/>
      <c r="E45" s="379"/>
      <c r="F45" s="379"/>
      <c r="G45" s="379"/>
      <c r="H45" s="379"/>
      <c r="I45" s="379"/>
      <c r="J45" s="432"/>
    </row>
    <row r="46" spans="1:10" s="349" customFormat="1" x14ac:dyDescent="0.25">
      <c r="A46" s="378"/>
      <c r="B46" s="376"/>
      <c r="C46" s="376"/>
      <c r="D46" s="380"/>
      <c r="E46" s="380"/>
      <c r="F46" s="380"/>
      <c r="G46" s="380"/>
      <c r="H46" s="380"/>
      <c r="I46" s="380"/>
      <c r="J46" s="432"/>
    </row>
    <row r="47" spans="1:10" s="349" customFormat="1" x14ac:dyDescent="0.25">
      <c r="A47" s="378"/>
      <c r="B47" s="376"/>
      <c r="C47" s="376"/>
      <c r="D47" s="381"/>
      <c r="E47" s="381"/>
      <c r="F47" s="381"/>
      <c r="G47" s="379"/>
      <c r="H47" s="379"/>
      <c r="I47" s="379"/>
      <c r="J47" s="432"/>
    </row>
    <row r="48" spans="1:10" s="349" customFormat="1" x14ac:dyDescent="0.25">
      <c r="A48" s="378"/>
      <c r="B48" s="376"/>
      <c r="C48" s="376"/>
      <c r="D48" s="379"/>
      <c r="E48" s="379"/>
      <c r="F48" s="379"/>
      <c r="G48" s="379"/>
      <c r="H48" s="379"/>
      <c r="I48" s="379"/>
      <c r="J48" s="432"/>
    </row>
    <row r="49" spans="1:19" s="349" customFormat="1" x14ac:dyDescent="0.25">
      <c r="A49" s="378"/>
      <c r="B49" s="390"/>
      <c r="C49" s="390"/>
      <c r="D49" s="379"/>
      <c r="E49" s="379"/>
      <c r="F49" s="379"/>
      <c r="G49" s="379"/>
      <c r="H49" s="379"/>
      <c r="I49" s="379"/>
      <c r="J49" s="432"/>
    </row>
    <row r="50" spans="1:19" s="349" customFormat="1" x14ac:dyDescent="0.25">
      <c r="A50" s="378"/>
      <c r="B50" s="376"/>
      <c r="C50" s="376"/>
      <c r="D50" s="379"/>
      <c r="E50" s="379"/>
      <c r="F50" s="379"/>
      <c r="G50" s="379"/>
      <c r="H50" s="379"/>
      <c r="I50" s="379"/>
      <c r="J50" s="432"/>
    </row>
    <row r="51" spans="1:19" s="349" customFormat="1" x14ac:dyDescent="0.25">
      <c r="A51" s="378"/>
      <c r="B51" s="376"/>
      <c r="C51" s="376"/>
      <c r="D51" s="380"/>
      <c r="E51" s="380"/>
      <c r="F51" s="380"/>
      <c r="G51" s="380"/>
      <c r="H51" s="380"/>
      <c r="I51" s="380"/>
      <c r="J51" s="432"/>
    </row>
    <row r="52" spans="1:19" s="349" customFormat="1" x14ac:dyDescent="0.25">
      <c r="A52" s="378"/>
      <c r="B52" s="376"/>
      <c r="C52" s="376"/>
      <c r="D52" s="381"/>
      <c r="E52" s="381"/>
      <c r="F52" s="381"/>
      <c r="G52" s="379"/>
      <c r="H52" s="379"/>
      <c r="I52" s="379"/>
      <c r="J52" s="432"/>
    </row>
    <row r="53" spans="1:19" s="349" customFormat="1" x14ac:dyDescent="0.25">
      <c r="A53" s="378"/>
      <c r="B53" s="390"/>
      <c r="C53" s="390"/>
      <c r="D53" s="379"/>
      <c r="E53" s="379"/>
      <c r="F53" s="379"/>
      <c r="G53" s="379"/>
      <c r="H53" s="379"/>
      <c r="I53" s="379"/>
      <c r="J53" s="432"/>
    </row>
    <row r="54" spans="1:19" s="349" customFormat="1" x14ac:dyDescent="0.25">
      <c r="A54" s="378"/>
      <c r="B54" s="390"/>
      <c r="C54" s="390"/>
      <c r="D54" s="379"/>
      <c r="E54" s="379"/>
      <c r="F54" s="379"/>
      <c r="G54" s="379"/>
      <c r="H54" s="379"/>
      <c r="I54" s="379"/>
      <c r="J54" s="432"/>
    </row>
    <row r="55" spans="1:19" s="349" customFormat="1" x14ac:dyDescent="0.25">
      <c r="A55" s="378"/>
      <c r="B55" s="391"/>
      <c r="C55" s="391"/>
      <c r="D55" s="379"/>
      <c r="E55" s="379"/>
      <c r="F55" s="379"/>
      <c r="G55" s="379"/>
      <c r="H55" s="379"/>
      <c r="I55" s="376"/>
      <c r="J55" s="432"/>
    </row>
    <row r="56" spans="1:19" s="349" customFormat="1" x14ac:dyDescent="0.25">
      <c r="A56" s="378"/>
      <c r="B56" s="391"/>
      <c r="C56" s="391"/>
      <c r="D56" s="379"/>
      <c r="E56" s="379"/>
      <c r="F56" s="379"/>
      <c r="G56" s="379"/>
      <c r="H56" s="379"/>
      <c r="I56" s="376"/>
      <c r="J56" s="432"/>
    </row>
    <row r="57" spans="1:19" s="349" customFormat="1" x14ac:dyDescent="0.25">
      <c r="A57" s="378"/>
      <c r="B57" s="390"/>
      <c r="C57" s="390"/>
      <c r="D57" s="379"/>
      <c r="E57" s="379"/>
      <c r="F57" s="379"/>
      <c r="G57" s="379"/>
      <c r="H57" s="379"/>
      <c r="I57" s="379"/>
      <c r="J57" s="432"/>
    </row>
    <row r="58" spans="1:19" s="349" customFormat="1" x14ac:dyDescent="0.25">
      <c r="A58" s="392"/>
      <c r="B58" s="376"/>
      <c r="C58" s="376"/>
      <c r="D58" s="393"/>
      <c r="E58" s="393"/>
      <c r="F58" s="393"/>
      <c r="G58" s="393"/>
      <c r="H58" s="393"/>
      <c r="I58" s="393"/>
      <c r="J58" s="432"/>
    </row>
    <row r="59" spans="1:19" s="349" customFormat="1" x14ac:dyDescent="0.25">
      <c r="A59" s="378"/>
      <c r="B59" s="376"/>
      <c r="C59" s="376"/>
      <c r="D59" s="379"/>
      <c r="E59" s="379"/>
      <c r="F59" s="379"/>
      <c r="G59" s="379"/>
      <c r="H59" s="379"/>
      <c r="I59" s="379"/>
      <c r="J59" s="432"/>
    </row>
    <row r="60" spans="1:19" s="349" customFormat="1" x14ac:dyDescent="0.25">
      <c r="A60" s="378"/>
      <c r="B60" s="376"/>
      <c r="C60" s="376"/>
      <c r="D60" s="379"/>
      <c r="E60" s="379"/>
      <c r="F60" s="379"/>
      <c r="G60" s="379"/>
      <c r="H60" s="379"/>
      <c r="I60" s="379"/>
      <c r="J60" s="432"/>
    </row>
    <row r="61" spans="1:19" s="349" customFormat="1" ht="15.75" thickBot="1" x14ac:dyDescent="0.3">
      <c r="A61" s="394"/>
      <c r="B61" s="376"/>
      <c r="C61" s="376"/>
      <c r="D61" s="395"/>
      <c r="E61" s="395"/>
      <c r="F61" s="395"/>
      <c r="G61" s="396"/>
      <c r="H61" s="396"/>
      <c r="I61" s="396"/>
      <c r="J61" s="434"/>
    </row>
    <row r="62" spans="1:19" s="349" customFormat="1" x14ac:dyDescent="0.25">
      <c r="A62" s="394"/>
      <c r="B62" s="376"/>
      <c r="C62" s="376"/>
      <c r="D62" s="396"/>
      <c r="E62" s="396"/>
      <c r="F62" s="396"/>
      <c r="G62" s="396"/>
      <c r="H62" s="396"/>
      <c r="I62" s="396"/>
      <c r="J62" s="432"/>
    </row>
    <row r="63" spans="1:19" s="349" customFormat="1" x14ac:dyDescent="0.25">
      <c r="A63" s="394"/>
      <c r="B63" s="376"/>
      <c r="C63" s="376"/>
      <c r="D63" s="397"/>
      <c r="E63" s="397"/>
      <c r="F63" s="397"/>
      <c r="G63" s="397"/>
      <c r="H63" s="397"/>
      <c r="I63" s="397"/>
      <c r="J63" s="432"/>
    </row>
    <row r="64" spans="1:19" s="349" customFormat="1" x14ac:dyDescent="0.25">
      <c r="A64" s="394"/>
      <c r="B64" s="376"/>
      <c r="C64" s="376"/>
      <c r="D64" s="396"/>
      <c r="E64" s="393"/>
      <c r="F64" s="396"/>
      <c r="G64" s="396"/>
      <c r="H64" s="396"/>
      <c r="I64" s="396"/>
      <c r="J64" s="432"/>
      <c r="K64" s="390"/>
      <c r="L64" s="376"/>
      <c r="M64" s="406"/>
      <c r="O64" s="396"/>
      <c r="P64" s="396"/>
      <c r="Q64" s="396"/>
      <c r="R64" s="396"/>
      <c r="S64" s="435"/>
    </row>
    <row r="65" spans="1:19" s="401" customFormat="1" x14ac:dyDescent="0.25">
      <c r="A65" s="398"/>
      <c r="B65" s="391"/>
      <c r="C65" s="391"/>
      <c r="D65" s="399"/>
      <c r="E65" s="399"/>
      <c r="F65" s="399"/>
      <c r="G65" s="399"/>
      <c r="H65" s="399"/>
      <c r="I65" s="399"/>
      <c r="J65" s="400"/>
      <c r="K65" s="391"/>
      <c r="L65" s="391"/>
      <c r="M65" s="399"/>
      <c r="O65" s="399"/>
      <c r="P65" s="399"/>
      <c r="Q65" s="399"/>
      <c r="R65" s="399"/>
      <c r="S65" s="436"/>
    </row>
    <row r="66" spans="1:19" s="401" customFormat="1" x14ac:dyDescent="0.25">
      <c r="A66" s="398"/>
      <c r="B66" s="391"/>
      <c r="C66" s="391"/>
      <c r="D66" s="399"/>
      <c r="E66" s="399"/>
      <c r="F66" s="399"/>
      <c r="G66" s="399"/>
      <c r="H66" s="399"/>
      <c r="I66" s="399"/>
      <c r="J66" s="400"/>
      <c r="K66" s="391"/>
      <c r="L66" s="391"/>
      <c r="M66" s="399"/>
      <c r="O66" s="399"/>
      <c r="P66" s="399"/>
      <c r="Q66" s="399"/>
      <c r="R66" s="399"/>
      <c r="S66" s="436"/>
    </row>
    <row r="67" spans="1:19" s="349" customFormat="1" x14ac:dyDescent="0.25">
      <c r="A67" s="394"/>
      <c r="B67" s="376"/>
      <c r="C67" s="376"/>
      <c r="D67" s="396"/>
      <c r="E67" s="396"/>
      <c r="F67" s="396"/>
      <c r="G67" s="396"/>
      <c r="H67" s="396"/>
      <c r="I67" s="396"/>
      <c r="J67" s="432"/>
    </row>
    <row r="68" spans="1:19" s="349" customFormat="1" ht="15.75" thickBot="1" x14ac:dyDescent="0.3">
      <c r="A68" s="437"/>
      <c r="B68" s="438"/>
      <c r="C68" s="438"/>
      <c r="D68" s="439"/>
      <c r="E68" s="439"/>
      <c r="F68" s="439"/>
      <c r="G68" s="439"/>
      <c r="H68" s="439"/>
      <c r="I68" s="439"/>
      <c r="J68" s="432"/>
    </row>
    <row r="69" spans="1:19" s="349" customFormat="1" x14ac:dyDescent="0.25">
      <c r="A69" s="440"/>
      <c r="B69" s="430"/>
      <c r="C69" s="430"/>
      <c r="D69" s="441"/>
      <c r="E69" s="441"/>
      <c r="F69" s="441"/>
      <c r="G69" s="441"/>
      <c r="H69" s="441"/>
      <c r="I69" s="441"/>
      <c r="J69" s="432"/>
    </row>
    <row r="70" spans="1:19" s="349" customFormat="1" x14ac:dyDescent="0.25">
      <c r="A70" s="442"/>
      <c r="B70" s="376"/>
      <c r="C70" s="376"/>
      <c r="D70" s="389"/>
      <c r="E70" s="389"/>
      <c r="F70" s="389"/>
      <c r="G70" s="389"/>
      <c r="H70" s="389"/>
      <c r="I70" s="389"/>
      <c r="J70" s="432"/>
    </row>
    <row r="71" spans="1:19" s="349" customFormat="1" x14ac:dyDescent="0.25">
      <c r="A71" s="375"/>
      <c r="B71" s="390"/>
      <c r="C71" s="390"/>
      <c r="D71" s="379"/>
      <c r="E71" s="379"/>
      <c r="F71" s="379"/>
      <c r="G71" s="379"/>
      <c r="H71" s="379"/>
      <c r="I71" s="379"/>
      <c r="J71" s="432"/>
    </row>
    <row r="72" spans="1:19" s="349" customFormat="1" x14ac:dyDescent="0.25">
      <c r="A72" s="375"/>
      <c r="B72" s="401"/>
      <c r="C72" s="401"/>
      <c r="D72" s="402"/>
      <c r="E72" s="379"/>
      <c r="F72" s="402"/>
      <c r="G72" s="402"/>
      <c r="H72" s="379"/>
      <c r="I72" s="379"/>
      <c r="J72" s="432"/>
    </row>
    <row r="73" spans="1:19" s="349" customFormat="1" x14ac:dyDescent="0.25">
      <c r="A73" s="375"/>
      <c r="B73" s="401"/>
      <c r="C73" s="401"/>
      <c r="D73" s="403"/>
      <c r="E73" s="403"/>
      <c r="F73" s="403"/>
      <c r="G73" s="403"/>
      <c r="H73" s="379"/>
      <c r="I73" s="379"/>
      <c r="J73" s="432"/>
    </row>
    <row r="74" spans="1:19" s="349" customFormat="1" x14ac:dyDescent="0.25">
      <c r="A74" s="375"/>
      <c r="B74" s="390"/>
      <c r="C74" s="390"/>
      <c r="D74" s="379"/>
      <c r="E74" s="379"/>
      <c r="F74" s="379"/>
      <c r="G74" s="379"/>
      <c r="H74" s="379"/>
      <c r="I74" s="379"/>
      <c r="J74" s="432"/>
    </row>
    <row r="75" spans="1:19" s="349" customFormat="1" x14ac:dyDescent="0.25">
      <c r="A75" s="375"/>
      <c r="B75" s="390"/>
      <c r="C75" s="390"/>
      <c r="D75" s="379"/>
      <c r="E75" s="379"/>
      <c r="F75" s="379"/>
      <c r="G75" s="379"/>
      <c r="H75" s="379"/>
      <c r="I75" s="379"/>
      <c r="J75" s="432"/>
    </row>
    <row r="76" spans="1:19" s="349" customFormat="1" x14ac:dyDescent="0.25">
      <c r="A76" s="375"/>
      <c r="B76" s="404"/>
      <c r="C76" s="390"/>
      <c r="D76" s="379"/>
      <c r="E76" s="379"/>
      <c r="F76" s="379"/>
      <c r="G76" s="379"/>
      <c r="H76" s="379"/>
      <c r="I76" s="379"/>
      <c r="J76" s="432"/>
    </row>
    <row r="77" spans="1:19" s="349" customFormat="1" x14ac:dyDescent="0.25">
      <c r="A77" s="375"/>
      <c r="B77" s="390"/>
      <c r="C77" s="390"/>
      <c r="D77" s="379"/>
      <c r="E77" s="379"/>
      <c r="F77" s="379"/>
      <c r="G77" s="379"/>
      <c r="H77" s="379"/>
      <c r="I77" s="379"/>
      <c r="J77" s="432"/>
    </row>
    <row r="78" spans="1:19" s="349" customFormat="1" x14ac:dyDescent="0.25">
      <c r="A78" s="375"/>
      <c r="B78" s="390"/>
      <c r="C78" s="390"/>
      <c r="D78" s="379"/>
      <c r="E78" s="379"/>
      <c r="F78" s="379"/>
      <c r="G78" s="379"/>
      <c r="H78" s="379"/>
      <c r="I78" s="379"/>
      <c r="J78" s="432"/>
    </row>
    <row r="79" spans="1:19" s="349" customFormat="1" x14ac:dyDescent="0.25">
      <c r="A79" s="375"/>
      <c r="B79" s="390"/>
      <c r="C79" s="390"/>
      <c r="D79" s="405"/>
      <c r="E79" s="405"/>
      <c r="F79" s="405"/>
      <c r="G79" s="405"/>
      <c r="H79" s="405"/>
      <c r="I79" s="405"/>
      <c r="J79" s="432"/>
    </row>
    <row r="80" spans="1:19" s="349" customFormat="1" x14ac:dyDescent="0.25">
      <c r="A80" s="375"/>
      <c r="B80" s="390"/>
      <c r="C80" s="390"/>
      <c r="D80" s="379"/>
      <c r="E80" s="379"/>
      <c r="F80" s="379"/>
      <c r="G80" s="379"/>
      <c r="H80" s="379"/>
      <c r="I80" s="379"/>
      <c r="J80" s="432"/>
    </row>
    <row r="81" spans="1:12" s="349" customFormat="1" x14ac:dyDescent="0.25">
      <c r="A81" s="375"/>
      <c r="B81" s="390"/>
      <c r="C81" s="390"/>
      <c r="D81" s="379"/>
      <c r="E81" s="379"/>
      <c r="F81" s="379"/>
      <c r="G81" s="379"/>
      <c r="H81" s="379"/>
      <c r="I81" s="379"/>
      <c r="J81" s="432"/>
    </row>
    <row r="82" spans="1:12" s="349" customFormat="1" x14ac:dyDescent="0.25">
      <c r="A82" s="375"/>
      <c r="B82" s="390"/>
      <c r="C82" s="390"/>
      <c r="D82" s="379"/>
      <c r="E82" s="379"/>
      <c r="F82" s="406"/>
      <c r="G82" s="379"/>
      <c r="H82" s="379"/>
      <c r="I82" s="379"/>
      <c r="J82" s="432"/>
    </row>
    <row r="83" spans="1:12" s="349" customFormat="1" x14ac:dyDescent="0.25">
      <c r="A83" s="375"/>
      <c r="B83" s="376"/>
      <c r="C83" s="376"/>
      <c r="D83" s="379"/>
      <c r="E83" s="379"/>
      <c r="F83" s="379"/>
      <c r="G83" s="379"/>
      <c r="H83" s="379"/>
      <c r="I83" s="379"/>
      <c r="J83" s="432"/>
    </row>
    <row r="84" spans="1:12" s="349" customFormat="1" x14ac:dyDescent="0.25">
      <c r="A84" s="378"/>
      <c r="B84" s="376"/>
      <c r="C84" s="376"/>
      <c r="D84" s="379"/>
      <c r="E84" s="379"/>
      <c r="F84" s="379"/>
      <c r="G84" s="379"/>
      <c r="H84" s="379"/>
      <c r="I84" s="379"/>
      <c r="J84" s="432"/>
    </row>
    <row r="85" spans="1:12" s="349" customFormat="1" ht="15.75" thickBot="1" x14ac:dyDescent="0.3">
      <c r="A85" s="394"/>
      <c r="B85" s="376"/>
      <c r="C85" s="376"/>
      <c r="D85" s="395"/>
      <c r="E85" s="395"/>
      <c r="F85" s="395"/>
      <c r="G85" s="395"/>
      <c r="H85" s="395"/>
      <c r="I85" s="395"/>
      <c r="J85" s="432"/>
    </row>
    <row r="86" spans="1:12" s="349" customFormat="1" x14ac:dyDescent="0.25">
      <c r="A86" s="394"/>
      <c r="B86" s="376"/>
      <c r="C86" s="376"/>
      <c r="D86" s="396"/>
      <c r="E86" s="396"/>
      <c r="F86" s="396"/>
      <c r="G86" s="396"/>
      <c r="H86" s="396"/>
      <c r="I86" s="396"/>
      <c r="J86" s="432"/>
    </row>
    <row r="87" spans="1:12" s="349" customFormat="1" x14ac:dyDescent="0.25">
      <c r="A87" s="394"/>
      <c r="B87" s="376"/>
      <c r="C87" s="376"/>
      <c r="D87" s="396"/>
      <c r="E87" s="396"/>
      <c r="F87" s="396"/>
      <c r="G87" s="396"/>
      <c r="H87" s="396"/>
      <c r="I87" s="396"/>
      <c r="J87" s="443"/>
      <c r="K87" s="403"/>
      <c r="L87" s="403"/>
    </row>
    <row r="88" spans="1:12" s="349" customFormat="1" x14ac:dyDescent="0.25">
      <c r="B88" s="376"/>
      <c r="C88" s="376"/>
      <c r="D88" s="396"/>
      <c r="E88" s="396"/>
      <c r="F88" s="396"/>
      <c r="G88" s="396"/>
      <c r="H88" s="396"/>
      <c r="I88" s="396"/>
      <c r="J88" s="432"/>
    </row>
    <row r="89" spans="1:12" s="349" customFormat="1" x14ac:dyDescent="0.25">
      <c r="A89" s="394"/>
      <c r="B89" s="376"/>
      <c r="C89" s="376"/>
      <c r="D89" s="396"/>
      <c r="E89" s="396"/>
      <c r="F89" s="396"/>
      <c r="G89" s="396"/>
      <c r="H89" s="396"/>
      <c r="I89" s="396"/>
      <c r="J89" s="432"/>
    </row>
    <row r="90" spans="1:12" s="349" customFormat="1" x14ac:dyDescent="0.25">
      <c r="A90" s="394"/>
      <c r="B90" s="376"/>
      <c r="C90" s="376"/>
      <c r="D90" s="396"/>
      <c r="E90" s="396"/>
      <c r="F90" s="396"/>
      <c r="G90" s="396"/>
      <c r="H90" s="396"/>
      <c r="I90" s="396"/>
      <c r="J90" s="432"/>
    </row>
    <row r="91" spans="1:12" s="349" customFormat="1" ht="15.75" thickBot="1" x14ac:dyDescent="0.3">
      <c r="A91" s="437"/>
      <c r="B91" s="438"/>
      <c r="C91" s="438"/>
      <c r="D91" s="439"/>
      <c r="E91" s="439"/>
      <c r="F91" s="439"/>
      <c r="G91" s="439"/>
      <c r="H91" s="439"/>
      <c r="I91" s="439"/>
      <c r="J91" s="432"/>
    </row>
    <row r="92" spans="1:12" s="349" customFormat="1" x14ac:dyDescent="0.25">
      <c r="A92" s="429"/>
      <c r="B92" s="430"/>
      <c r="C92" s="431"/>
      <c r="D92" s="431"/>
      <c r="E92" s="431"/>
      <c r="F92" s="431"/>
      <c r="G92" s="431"/>
      <c r="H92" s="431"/>
      <c r="I92" s="431"/>
      <c r="J92" s="432"/>
    </row>
    <row r="93" spans="1:12" s="349" customFormat="1" x14ac:dyDescent="0.25">
      <c r="A93" s="375"/>
      <c r="B93" s="376"/>
      <c r="C93" s="376"/>
      <c r="D93" s="377"/>
      <c r="E93" s="377"/>
      <c r="F93" s="377"/>
      <c r="G93" s="377"/>
      <c r="H93" s="377"/>
      <c r="I93" s="377"/>
      <c r="J93" s="432"/>
    </row>
    <row r="94" spans="1:12" s="349" customFormat="1" x14ac:dyDescent="0.25">
      <c r="A94" s="375"/>
      <c r="B94" s="444"/>
      <c r="C94" s="444"/>
      <c r="D94" s="379"/>
      <c r="E94" s="379"/>
      <c r="F94" s="377"/>
      <c r="G94" s="377"/>
      <c r="H94" s="377"/>
      <c r="I94" s="377"/>
      <c r="J94" s="432"/>
    </row>
    <row r="95" spans="1:12" s="349" customFormat="1" x14ac:dyDescent="0.25">
      <c r="A95" s="375"/>
      <c r="B95" s="444"/>
      <c r="C95" s="379"/>
      <c r="D95" s="379"/>
      <c r="E95" s="379"/>
      <c r="F95" s="377"/>
      <c r="G95" s="377"/>
      <c r="H95" s="377"/>
      <c r="I95" s="377"/>
      <c r="J95" s="432"/>
    </row>
    <row r="96" spans="1:12" s="349" customFormat="1" x14ac:dyDescent="0.25">
      <c r="A96" s="375"/>
      <c r="B96" s="444"/>
      <c r="C96" s="379"/>
      <c r="D96" s="379"/>
      <c r="E96" s="379"/>
      <c r="F96" s="377"/>
      <c r="G96" s="377"/>
      <c r="H96" s="377"/>
      <c r="I96" s="377"/>
      <c r="J96" s="432"/>
    </row>
    <row r="97" spans="1:10" s="349" customFormat="1" x14ac:dyDescent="0.25">
      <c r="A97" s="375"/>
      <c r="B97" s="444"/>
      <c r="C97" s="379"/>
      <c r="D97" s="379"/>
      <c r="E97" s="379"/>
      <c r="F97" s="377"/>
      <c r="G97" s="377"/>
      <c r="H97" s="377"/>
      <c r="I97" s="377"/>
      <c r="J97" s="432"/>
    </row>
    <row r="98" spans="1:10" s="349" customFormat="1" x14ac:dyDescent="0.25">
      <c r="A98" s="375"/>
      <c r="B98" s="444"/>
      <c r="C98" s="379"/>
      <c r="D98" s="379"/>
      <c r="E98" s="379"/>
      <c r="F98" s="377"/>
      <c r="G98" s="377"/>
      <c r="H98" s="377"/>
      <c r="I98" s="377"/>
      <c r="J98" s="432"/>
    </row>
    <row r="99" spans="1:10" s="349" customFormat="1" x14ac:dyDescent="0.25">
      <c r="A99" s="375"/>
      <c r="B99" s="444"/>
      <c r="C99" s="379"/>
      <c r="D99" s="379"/>
      <c r="E99" s="379"/>
      <c r="F99" s="377"/>
      <c r="G99" s="377"/>
      <c r="H99" s="377"/>
      <c r="I99" s="377"/>
      <c r="J99" s="432"/>
    </row>
    <row r="100" spans="1:10" s="349" customFormat="1" x14ac:dyDescent="0.25">
      <c r="A100" s="375"/>
      <c r="B100" s="444"/>
      <c r="C100" s="379"/>
      <c r="D100" s="379"/>
      <c r="E100" s="379"/>
      <c r="F100" s="377"/>
      <c r="G100" s="377"/>
      <c r="H100" s="377"/>
      <c r="I100" s="377"/>
      <c r="J100" s="432"/>
    </row>
    <row r="101" spans="1:10" s="349" customFormat="1" x14ac:dyDescent="0.25">
      <c r="A101" s="375"/>
      <c r="B101" s="444"/>
      <c r="C101" s="444"/>
      <c r="D101" s="379"/>
      <c r="E101" s="379"/>
      <c r="F101" s="377"/>
      <c r="G101" s="377"/>
      <c r="H101" s="377"/>
      <c r="I101" s="377"/>
      <c r="J101" s="432"/>
    </row>
    <row r="102" spans="1:10" s="349" customFormat="1" x14ac:dyDescent="0.25">
      <c r="A102" s="375"/>
      <c r="B102" s="444"/>
      <c r="C102" s="444"/>
      <c r="D102" s="379"/>
      <c r="E102" s="379"/>
      <c r="F102" s="377"/>
      <c r="G102" s="377"/>
      <c r="H102" s="377"/>
      <c r="I102" s="377"/>
      <c r="J102" s="432"/>
    </row>
    <row r="103" spans="1:10" s="349" customFormat="1" x14ac:dyDescent="0.25">
      <c r="A103" s="375"/>
      <c r="B103" s="445"/>
      <c r="C103" s="445"/>
      <c r="D103" s="379"/>
      <c r="E103" s="379"/>
      <c r="F103" s="377"/>
      <c r="G103" s="377"/>
      <c r="H103" s="377"/>
      <c r="I103" s="377"/>
      <c r="J103" s="432"/>
    </row>
    <row r="104" spans="1:10" s="349" customFormat="1" x14ac:dyDescent="0.25">
      <c r="A104" s="375"/>
      <c r="B104" s="445"/>
      <c r="C104" s="445"/>
      <c r="D104" s="379"/>
      <c r="E104" s="379"/>
      <c r="F104" s="377"/>
      <c r="G104" s="377"/>
      <c r="H104" s="377"/>
      <c r="I104" s="377"/>
      <c r="J104" s="432"/>
    </row>
    <row r="105" spans="1:10" s="349" customFormat="1" x14ac:dyDescent="0.25">
      <c r="A105" s="378"/>
      <c r="B105" s="376"/>
      <c r="C105" s="376"/>
      <c r="D105" s="379"/>
      <c r="E105" s="379"/>
      <c r="F105" s="377"/>
      <c r="G105" s="377"/>
      <c r="H105" s="377"/>
      <c r="I105" s="377"/>
      <c r="J105" s="432"/>
    </row>
    <row r="106" spans="1:10" s="349" customFormat="1" x14ac:dyDescent="0.25">
      <c r="A106" s="378"/>
      <c r="B106" s="376"/>
      <c r="C106" s="376"/>
      <c r="D106" s="377"/>
      <c r="E106" s="377"/>
      <c r="F106" s="377"/>
      <c r="G106" s="377"/>
      <c r="H106" s="377"/>
      <c r="I106" s="377"/>
      <c r="J106" s="432"/>
    </row>
    <row r="107" spans="1:10" s="349" customFormat="1" x14ac:dyDescent="0.25">
      <c r="A107" s="378"/>
      <c r="B107" s="376"/>
      <c r="C107" s="376"/>
      <c r="D107" s="377"/>
      <c r="E107" s="377"/>
      <c r="F107" s="377"/>
      <c r="G107" s="377"/>
      <c r="H107" s="377"/>
      <c r="I107" s="377"/>
      <c r="J107" s="432"/>
    </row>
    <row r="108" spans="1:10" s="349" customFormat="1" x14ac:dyDescent="0.25">
      <c r="A108" s="375"/>
      <c r="B108" s="376"/>
      <c r="C108" s="376"/>
      <c r="D108" s="377"/>
      <c r="E108" s="377"/>
      <c r="F108" s="377"/>
      <c r="G108" s="377"/>
      <c r="H108" s="377"/>
      <c r="I108" s="377"/>
      <c r="J108" s="432"/>
    </row>
    <row r="109" spans="1:10" s="349" customFormat="1" x14ac:dyDescent="0.25">
      <c r="A109" s="375"/>
      <c r="B109" s="376"/>
      <c r="C109" s="376"/>
      <c r="D109" s="377"/>
      <c r="E109" s="377"/>
      <c r="F109" s="377"/>
      <c r="G109" s="377"/>
      <c r="H109" s="377"/>
      <c r="I109" s="377"/>
      <c r="J109" s="432"/>
    </row>
    <row r="110" spans="1:10" s="349" customFormat="1" x14ac:dyDescent="0.25">
      <c r="A110" s="378"/>
      <c r="B110" s="376"/>
      <c r="C110" s="376"/>
      <c r="D110" s="377"/>
      <c r="E110" s="377"/>
      <c r="F110" s="377"/>
      <c r="G110" s="377"/>
      <c r="H110" s="377"/>
      <c r="I110" s="377"/>
      <c r="J110" s="432"/>
    </row>
    <row r="111" spans="1:10" s="349" customFormat="1" x14ac:dyDescent="0.25">
      <c r="A111" s="378"/>
      <c r="B111" s="376"/>
      <c r="C111" s="376"/>
      <c r="D111" s="377"/>
      <c r="E111" s="377"/>
      <c r="F111" s="377"/>
      <c r="G111" s="377"/>
      <c r="H111" s="377"/>
      <c r="I111" s="377"/>
      <c r="J111" s="432"/>
    </row>
    <row r="112" spans="1:10" s="349" customFormat="1" x14ac:dyDescent="0.25">
      <c r="A112" s="378"/>
      <c r="B112" s="376"/>
      <c r="C112" s="376"/>
      <c r="D112" s="377"/>
      <c r="E112" s="377"/>
      <c r="F112" s="377"/>
      <c r="G112" s="377"/>
      <c r="H112" s="377"/>
      <c r="I112" s="377"/>
      <c r="J112" s="432"/>
    </row>
    <row r="113" spans="1:10" s="349" customFormat="1" x14ac:dyDescent="0.25">
      <c r="A113" s="378"/>
      <c r="B113" s="376"/>
      <c r="C113" s="376"/>
      <c r="D113" s="377"/>
      <c r="E113" s="377"/>
      <c r="F113" s="377"/>
      <c r="G113" s="377"/>
      <c r="H113" s="377"/>
      <c r="I113" s="377"/>
      <c r="J113" s="432"/>
    </row>
    <row r="114" spans="1:10" s="349" customFormat="1" x14ac:dyDescent="0.25">
      <c r="A114" s="378"/>
      <c r="B114" s="376"/>
      <c r="C114" s="376"/>
      <c r="D114" s="377"/>
      <c r="E114" s="377"/>
      <c r="F114" s="377"/>
      <c r="G114" s="377"/>
      <c r="H114" s="377"/>
      <c r="I114" s="377"/>
      <c r="J114" s="432"/>
    </row>
    <row r="115" spans="1:10" s="349" customFormat="1" x14ac:dyDescent="0.25">
      <c r="A115" s="378"/>
      <c r="B115" s="376"/>
      <c r="C115" s="376"/>
      <c r="D115" s="377"/>
      <c r="E115" s="377"/>
      <c r="F115" s="377"/>
      <c r="G115" s="377"/>
      <c r="H115" s="377"/>
      <c r="I115" s="377"/>
      <c r="J115" s="432"/>
    </row>
    <row r="116" spans="1:10" s="349" customFormat="1" x14ac:dyDescent="0.25">
      <c r="A116" s="378"/>
      <c r="B116" s="376"/>
      <c r="C116" s="376"/>
      <c r="D116" s="377"/>
      <c r="E116" s="377"/>
      <c r="F116" s="377"/>
      <c r="G116" s="377"/>
      <c r="H116" s="377"/>
      <c r="I116" s="377"/>
      <c r="J116" s="432"/>
    </row>
    <row r="117" spans="1:10" s="349" customFormat="1" x14ac:dyDescent="0.25">
      <c r="A117" s="378"/>
      <c r="B117" s="376"/>
      <c r="C117" s="376"/>
      <c r="D117" s="377"/>
      <c r="E117" s="377"/>
      <c r="F117" s="377"/>
      <c r="G117" s="377"/>
      <c r="H117" s="377"/>
      <c r="I117" s="377"/>
      <c r="J117" s="432"/>
    </row>
    <row r="118" spans="1:10" s="349" customFormat="1" x14ac:dyDescent="0.25">
      <c r="A118" s="378"/>
      <c r="B118" s="376"/>
      <c r="C118" s="376"/>
      <c r="D118" s="377"/>
      <c r="E118" s="377"/>
      <c r="F118" s="377"/>
      <c r="G118" s="377"/>
      <c r="H118" s="377"/>
      <c r="I118" s="377"/>
      <c r="J118" s="432"/>
    </row>
    <row r="119" spans="1:10" s="349" customFormat="1" x14ac:dyDescent="0.25">
      <c r="A119" s="378"/>
      <c r="B119" s="376"/>
      <c r="C119" s="376"/>
      <c r="D119" s="377"/>
      <c r="E119" s="377"/>
      <c r="F119" s="377"/>
      <c r="G119" s="377"/>
      <c r="H119" s="377"/>
      <c r="I119" s="377"/>
      <c r="J119" s="432"/>
    </row>
    <row r="120" spans="1:10" s="349" customFormat="1" x14ac:dyDescent="0.25">
      <c r="A120" s="378"/>
      <c r="B120" s="376"/>
      <c r="C120" s="376"/>
      <c r="D120" s="377"/>
      <c r="E120" s="377"/>
      <c r="F120" s="377"/>
      <c r="G120" s="377"/>
      <c r="H120" s="377"/>
      <c r="I120" s="377"/>
      <c r="J120" s="432"/>
    </row>
    <row r="121" spans="1:10" s="349" customFormat="1" x14ac:dyDescent="0.25">
      <c r="A121" s="378"/>
      <c r="B121" s="376"/>
      <c r="C121" s="376"/>
      <c r="D121" s="377"/>
      <c r="E121" s="377"/>
      <c r="F121" s="377"/>
      <c r="G121" s="377"/>
      <c r="H121" s="377"/>
      <c r="I121" s="377"/>
      <c r="J121" s="432"/>
    </row>
    <row r="122" spans="1:10" s="349" customFormat="1" x14ac:dyDescent="0.25">
      <c r="A122" s="378"/>
      <c r="B122" s="376"/>
      <c r="C122" s="376"/>
      <c r="D122" s="377"/>
      <c r="E122" s="377"/>
      <c r="F122" s="377"/>
      <c r="G122" s="377"/>
      <c r="H122" s="377"/>
      <c r="I122" s="377"/>
      <c r="J122" s="432"/>
    </row>
    <row r="123" spans="1:10" s="349" customFormat="1" x14ac:dyDescent="0.25">
      <c r="A123" s="375"/>
      <c r="B123" s="376"/>
      <c r="C123" s="376"/>
      <c r="D123" s="377"/>
      <c r="E123" s="377"/>
      <c r="F123" s="377"/>
      <c r="G123" s="377"/>
      <c r="H123" s="377"/>
      <c r="I123" s="377"/>
      <c r="J123" s="432"/>
    </row>
    <row r="124" spans="1:10" s="349" customFormat="1" x14ac:dyDescent="0.25">
      <c r="A124" s="378"/>
      <c r="B124" s="376"/>
      <c r="C124" s="376"/>
      <c r="D124" s="377"/>
      <c r="E124" s="377"/>
      <c r="F124" s="377"/>
      <c r="G124" s="377"/>
      <c r="H124" s="377"/>
      <c r="I124" s="377"/>
      <c r="J124" s="432"/>
    </row>
    <row r="125" spans="1:10" s="349" customFormat="1" x14ac:dyDescent="0.25">
      <c r="A125" s="394"/>
      <c r="B125" s="376"/>
      <c r="C125" s="376"/>
      <c r="D125" s="377"/>
      <c r="E125" s="377"/>
      <c r="F125" s="377"/>
      <c r="G125" s="377"/>
      <c r="H125" s="377"/>
      <c r="I125" s="377"/>
      <c r="J125" s="432"/>
    </row>
    <row r="126" spans="1:10" s="349" customFormat="1" x14ac:dyDescent="0.25">
      <c r="A126" s="378"/>
      <c r="B126" s="376"/>
      <c r="C126" s="376"/>
      <c r="D126" s="377"/>
      <c r="E126" s="377"/>
      <c r="F126" s="377"/>
      <c r="G126" s="377"/>
      <c r="H126" s="377"/>
      <c r="I126" s="377"/>
      <c r="J126" s="432"/>
    </row>
    <row r="127" spans="1:10" s="349" customFormat="1" x14ac:dyDescent="0.25">
      <c r="A127" s="378"/>
      <c r="B127" s="376"/>
      <c r="C127" s="376"/>
      <c r="D127" s="377"/>
      <c r="E127" s="377"/>
      <c r="F127" s="377"/>
      <c r="G127" s="377"/>
      <c r="H127" s="377"/>
      <c r="I127" s="377"/>
      <c r="J127" s="432"/>
    </row>
    <row r="128" spans="1:10" s="349" customFormat="1" x14ac:dyDescent="0.25">
      <c r="A128" s="378"/>
      <c r="B128" s="376"/>
      <c r="C128" s="376"/>
      <c r="D128" s="377"/>
      <c r="E128" s="377"/>
      <c r="F128" s="377"/>
      <c r="G128" s="377"/>
      <c r="H128" s="377"/>
      <c r="I128" s="377"/>
      <c r="J128" s="432"/>
    </row>
    <row r="129" spans="1:10" s="349" customFormat="1" ht="15.75" thickBot="1" x14ac:dyDescent="0.3">
      <c r="A129" s="437"/>
      <c r="B129" s="438"/>
      <c r="C129" s="438"/>
      <c r="D129" s="446"/>
      <c r="E129" s="446"/>
      <c r="F129" s="446"/>
      <c r="G129" s="446"/>
      <c r="H129" s="446"/>
      <c r="I129" s="446"/>
      <c r="J129" s="432"/>
    </row>
    <row r="130" spans="1:10" s="349" customFormat="1" x14ac:dyDescent="0.25">
      <c r="A130" s="447"/>
      <c r="B130" s="430"/>
      <c r="C130" s="430"/>
      <c r="D130" s="431"/>
      <c r="E130" s="431"/>
      <c r="F130" s="431"/>
      <c r="G130" s="431"/>
      <c r="H130" s="431"/>
      <c r="I130" s="431"/>
      <c r="J130" s="432"/>
    </row>
    <row r="131" spans="1:10" s="349" customFormat="1" x14ac:dyDescent="0.25">
      <c r="A131" s="394"/>
      <c r="B131" s="376"/>
      <c r="C131" s="376"/>
      <c r="D131" s="377"/>
      <c r="E131" s="377"/>
      <c r="F131" s="377"/>
      <c r="G131" s="377"/>
      <c r="H131" s="377"/>
      <c r="I131" s="377"/>
      <c r="J131" s="432"/>
    </row>
    <row r="132" spans="1:10" s="349" customFormat="1" x14ac:dyDescent="0.25">
      <c r="A132" s="394"/>
      <c r="B132" s="376"/>
      <c r="C132" s="376"/>
      <c r="D132" s="377"/>
      <c r="E132" s="377"/>
      <c r="F132" s="377"/>
      <c r="G132" s="377"/>
      <c r="H132" s="377"/>
      <c r="I132" s="377"/>
      <c r="J132" s="432"/>
    </row>
    <row r="133" spans="1:10" s="349" customFormat="1" x14ac:dyDescent="0.25">
      <c r="A133" s="448"/>
      <c r="B133" s="376"/>
      <c r="C133" s="376"/>
      <c r="D133" s="377"/>
      <c r="E133" s="377"/>
      <c r="F133" s="377"/>
      <c r="G133" s="377"/>
      <c r="H133" s="377"/>
      <c r="I133" s="377"/>
      <c r="J133" s="432"/>
    </row>
    <row r="134" spans="1:10" s="349" customFormat="1" x14ac:dyDescent="0.25">
      <c r="A134" s="378"/>
      <c r="B134" s="376"/>
      <c r="C134" s="376"/>
      <c r="D134" s="377"/>
      <c r="E134" s="377"/>
      <c r="F134" s="377"/>
      <c r="G134" s="377"/>
      <c r="H134" s="377"/>
      <c r="I134" s="377"/>
      <c r="J134" s="400"/>
    </row>
    <row r="135" spans="1:10" s="349" customFormat="1" x14ac:dyDescent="0.25">
      <c r="A135" s="378"/>
      <c r="B135" s="376"/>
      <c r="C135" s="376"/>
      <c r="D135" s="377"/>
      <c r="E135" s="377"/>
      <c r="F135" s="377"/>
      <c r="G135" s="377"/>
      <c r="H135" s="377"/>
      <c r="I135" s="377"/>
      <c r="J135" s="432"/>
    </row>
    <row r="136" spans="1:10" s="349" customFormat="1" x14ac:dyDescent="0.25">
      <c r="A136" s="378"/>
      <c r="B136" s="376"/>
      <c r="C136" s="376"/>
      <c r="D136" s="382"/>
      <c r="E136" s="382"/>
      <c r="F136" s="382"/>
      <c r="G136" s="382"/>
      <c r="H136" s="382"/>
      <c r="I136" s="382"/>
      <c r="J136" s="432"/>
    </row>
    <row r="137" spans="1:10" s="349" customFormat="1" x14ac:dyDescent="0.25">
      <c r="A137" s="378"/>
      <c r="B137" s="376"/>
      <c r="C137" s="376"/>
      <c r="D137" s="377"/>
      <c r="E137" s="377"/>
      <c r="F137" s="377"/>
      <c r="G137" s="377"/>
      <c r="H137" s="377"/>
      <c r="I137" s="377"/>
      <c r="J137" s="432"/>
    </row>
    <row r="138" spans="1:10" s="349" customFormat="1" x14ac:dyDescent="0.25">
      <c r="A138" s="378"/>
      <c r="B138" s="376"/>
      <c r="C138" s="376"/>
      <c r="D138" s="377"/>
      <c r="E138" s="377"/>
      <c r="F138" s="377"/>
      <c r="G138" s="377"/>
      <c r="H138" s="377"/>
      <c r="I138" s="377"/>
      <c r="J138" s="400"/>
    </row>
    <row r="139" spans="1:10" s="349" customFormat="1" x14ac:dyDescent="0.25">
      <c r="A139" s="378"/>
      <c r="B139" s="376"/>
      <c r="C139" s="376"/>
      <c r="D139" s="377"/>
      <c r="E139" s="377"/>
      <c r="F139" s="377"/>
      <c r="G139" s="377"/>
      <c r="H139" s="377"/>
      <c r="I139" s="377"/>
      <c r="J139" s="432"/>
    </row>
    <row r="140" spans="1:10" s="349" customFormat="1" x14ac:dyDescent="0.25">
      <c r="A140" s="378"/>
      <c r="B140" s="376"/>
      <c r="C140" s="376"/>
      <c r="D140" s="382"/>
      <c r="E140" s="382"/>
      <c r="F140" s="382"/>
      <c r="G140" s="382"/>
      <c r="H140" s="382"/>
      <c r="I140" s="382"/>
      <c r="J140" s="432"/>
    </row>
    <row r="141" spans="1:10" s="349" customFormat="1" x14ac:dyDescent="0.25">
      <c r="A141" s="378"/>
      <c r="B141" s="376"/>
      <c r="C141" s="376"/>
      <c r="D141" s="377"/>
      <c r="E141" s="377"/>
      <c r="F141" s="377"/>
      <c r="G141" s="377"/>
      <c r="H141" s="377"/>
      <c r="I141" s="377"/>
      <c r="J141" s="432"/>
    </row>
    <row r="142" spans="1:10" s="349" customFormat="1" x14ac:dyDescent="0.25">
      <c r="A142" s="378"/>
      <c r="B142" s="376"/>
      <c r="C142" s="376"/>
      <c r="D142" s="377"/>
      <c r="E142" s="377"/>
      <c r="F142" s="377"/>
      <c r="G142" s="377"/>
      <c r="H142" s="377"/>
      <c r="I142" s="377"/>
      <c r="J142" s="432"/>
    </row>
    <row r="143" spans="1:10" s="349" customFormat="1" x14ac:dyDescent="0.25">
      <c r="A143" s="378"/>
      <c r="B143" s="376"/>
      <c r="C143" s="376"/>
      <c r="D143" s="377"/>
      <c r="E143" s="377"/>
      <c r="F143" s="377"/>
      <c r="G143" s="377"/>
      <c r="H143" s="377"/>
      <c r="I143" s="377"/>
      <c r="J143" s="400"/>
    </row>
    <row r="144" spans="1:10" s="349" customFormat="1" x14ac:dyDescent="0.25">
      <c r="A144" s="378"/>
      <c r="B144" s="376"/>
      <c r="C144" s="376"/>
      <c r="D144" s="377"/>
      <c r="E144" s="377"/>
      <c r="F144" s="377"/>
      <c r="G144" s="377"/>
      <c r="H144" s="377"/>
      <c r="I144" s="377"/>
      <c r="J144" s="432"/>
    </row>
    <row r="145" spans="1:10" s="349" customFormat="1" x14ac:dyDescent="0.25">
      <c r="A145" s="378"/>
      <c r="B145" s="376"/>
      <c r="C145" s="376"/>
      <c r="D145" s="382"/>
      <c r="E145" s="382"/>
      <c r="F145" s="382"/>
      <c r="G145" s="382"/>
      <c r="H145" s="382"/>
      <c r="I145" s="382"/>
      <c r="J145" s="432"/>
    </row>
    <row r="146" spans="1:10" s="349" customFormat="1" x14ac:dyDescent="0.25">
      <c r="A146" s="378"/>
      <c r="B146" s="376"/>
      <c r="C146" s="376"/>
      <c r="D146" s="377"/>
      <c r="E146" s="377"/>
      <c r="F146" s="377"/>
      <c r="G146" s="377"/>
      <c r="H146" s="377"/>
      <c r="I146" s="377"/>
      <c r="J146" s="432"/>
    </row>
    <row r="147" spans="1:10" s="349" customFormat="1" x14ac:dyDescent="0.25">
      <c r="A147" s="378"/>
      <c r="B147" s="376"/>
      <c r="C147" s="376"/>
      <c r="D147" s="377"/>
      <c r="E147" s="377"/>
      <c r="F147" s="377"/>
      <c r="G147" s="377"/>
      <c r="H147" s="377"/>
      <c r="I147" s="377"/>
      <c r="J147" s="432"/>
    </row>
    <row r="148" spans="1:10" s="349" customFormat="1" x14ac:dyDescent="0.25">
      <c r="A148" s="378"/>
      <c r="B148" s="376"/>
      <c r="C148" s="376"/>
      <c r="D148" s="377"/>
      <c r="E148" s="377"/>
      <c r="F148" s="377"/>
      <c r="G148" s="377"/>
      <c r="H148" s="377"/>
      <c r="I148" s="377"/>
      <c r="J148" s="400"/>
    </row>
    <row r="149" spans="1:10" s="349" customFormat="1" x14ac:dyDescent="0.25">
      <c r="A149" s="378"/>
      <c r="B149" s="376"/>
      <c r="C149" s="376"/>
      <c r="D149" s="377"/>
      <c r="E149" s="377"/>
      <c r="F149" s="377"/>
      <c r="G149" s="377"/>
      <c r="H149" s="377"/>
      <c r="I149" s="377"/>
      <c r="J149" s="432"/>
    </row>
    <row r="150" spans="1:10" s="349" customFormat="1" x14ac:dyDescent="0.25">
      <c r="A150" s="378"/>
      <c r="B150" s="376"/>
      <c r="C150" s="376"/>
      <c r="D150" s="382"/>
      <c r="E150" s="382"/>
      <c r="F150" s="382"/>
      <c r="G150" s="382"/>
      <c r="H150" s="382"/>
      <c r="I150" s="382"/>
      <c r="J150" s="432"/>
    </row>
    <row r="151" spans="1:10" s="349" customFormat="1" x14ac:dyDescent="0.25">
      <c r="A151" s="378"/>
      <c r="B151" s="376"/>
      <c r="C151" s="376"/>
      <c r="D151" s="377"/>
      <c r="E151" s="377"/>
      <c r="F151" s="377"/>
      <c r="G151" s="377"/>
      <c r="H151" s="377"/>
      <c r="I151" s="377"/>
      <c r="J151" s="432"/>
    </row>
    <row r="152" spans="1:10" s="349" customFormat="1" x14ac:dyDescent="0.25">
      <c r="A152" s="448"/>
      <c r="B152" s="376"/>
      <c r="C152" s="376"/>
      <c r="D152" s="377"/>
      <c r="E152" s="377"/>
      <c r="F152" s="377"/>
      <c r="G152" s="377"/>
      <c r="H152" s="377"/>
      <c r="I152" s="377"/>
      <c r="J152" s="432"/>
    </row>
    <row r="153" spans="1:10" s="349" customFormat="1" x14ac:dyDescent="0.25">
      <c r="A153" s="378"/>
      <c r="B153" s="376"/>
      <c r="C153" s="376"/>
      <c r="D153" s="377"/>
      <c r="E153" s="377"/>
      <c r="F153" s="377"/>
      <c r="G153" s="377"/>
      <c r="H153" s="377"/>
      <c r="I153" s="377"/>
      <c r="J153" s="400"/>
    </row>
    <row r="154" spans="1:10" s="349" customFormat="1" x14ac:dyDescent="0.25">
      <c r="A154" s="378"/>
      <c r="B154" s="376"/>
      <c r="C154" s="376"/>
      <c r="D154" s="377"/>
      <c r="E154" s="377"/>
      <c r="F154" s="377"/>
      <c r="G154" s="377"/>
      <c r="H154" s="377"/>
      <c r="I154" s="377"/>
      <c r="J154" s="432"/>
    </row>
    <row r="155" spans="1:10" s="349" customFormat="1" x14ac:dyDescent="0.25">
      <c r="A155" s="378"/>
      <c r="B155" s="376"/>
      <c r="C155" s="376"/>
      <c r="D155" s="382"/>
      <c r="E155" s="382"/>
      <c r="F155" s="382"/>
      <c r="G155" s="382"/>
      <c r="H155" s="382"/>
      <c r="I155" s="382"/>
      <c r="J155" s="432"/>
    </row>
    <row r="156" spans="1:10" s="349" customFormat="1" x14ac:dyDescent="0.25">
      <c r="A156" s="378"/>
      <c r="B156" s="376"/>
      <c r="C156" s="376"/>
      <c r="D156" s="377"/>
      <c r="E156" s="377"/>
      <c r="F156" s="377"/>
      <c r="G156" s="377"/>
      <c r="H156" s="377"/>
      <c r="I156" s="377"/>
      <c r="J156" s="432"/>
    </row>
    <row r="157" spans="1:10" s="349" customFormat="1" x14ac:dyDescent="0.25">
      <c r="A157" s="378"/>
      <c r="B157" s="376"/>
      <c r="C157" s="376"/>
      <c r="D157" s="377"/>
      <c r="E157" s="377"/>
      <c r="F157" s="377"/>
      <c r="G157" s="377"/>
      <c r="H157" s="377"/>
      <c r="I157" s="377"/>
      <c r="J157" s="400"/>
    </row>
    <row r="158" spans="1:10" s="349" customFormat="1" x14ac:dyDescent="0.25">
      <c r="A158" s="378"/>
      <c r="B158" s="376"/>
      <c r="C158" s="376"/>
      <c r="D158" s="377"/>
      <c r="E158" s="377"/>
      <c r="F158" s="377"/>
      <c r="G158" s="377"/>
      <c r="H158" s="377"/>
      <c r="I158" s="377"/>
      <c r="J158" s="432"/>
    </row>
    <row r="159" spans="1:10" s="349" customFormat="1" x14ac:dyDescent="0.25">
      <c r="A159" s="378"/>
      <c r="B159" s="376"/>
      <c r="C159" s="376"/>
      <c r="D159" s="382"/>
      <c r="E159" s="382"/>
      <c r="F159" s="382"/>
      <c r="G159" s="382"/>
      <c r="H159" s="382"/>
      <c r="I159" s="382"/>
      <c r="J159" s="432"/>
    </row>
    <row r="160" spans="1:10" s="349" customFormat="1" x14ac:dyDescent="0.25">
      <c r="A160" s="378"/>
      <c r="B160" s="376"/>
      <c r="C160" s="376"/>
      <c r="D160" s="377"/>
      <c r="E160" s="377"/>
      <c r="F160" s="377"/>
      <c r="G160" s="377"/>
      <c r="H160" s="377"/>
      <c r="I160" s="377"/>
      <c r="J160" s="432"/>
    </row>
    <row r="161" spans="1:10" s="349" customFormat="1" x14ac:dyDescent="0.25">
      <c r="A161" s="378"/>
      <c r="B161" s="376"/>
      <c r="C161" s="376"/>
      <c r="D161" s="377"/>
      <c r="E161" s="377"/>
      <c r="F161" s="377"/>
      <c r="G161" s="377"/>
      <c r="H161" s="377"/>
      <c r="I161" s="377"/>
      <c r="J161" s="400"/>
    </row>
    <row r="162" spans="1:10" s="349" customFormat="1" x14ac:dyDescent="0.25">
      <c r="A162" s="378"/>
      <c r="B162" s="376"/>
      <c r="C162" s="376"/>
      <c r="D162" s="377"/>
      <c r="E162" s="377"/>
      <c r="F162" s="377"/>
      <c r="G162" s="377"/>
      <c r="H162" s="377"/>
      <c r="I162" s="377"/>
      <c r="J162" s="432"/>
    </row>
    <row r="163" spans="1:10" s="349" customFormat="1" x14ac:dyDescent="0.25">
      <c r="A163" s="378"/>
      <c r="B163" s="376"/>
      <c r="C163" s="376"/>
      <c r="D163" s="382"/>
      <c r="E163" s="382"/>
      <c r="F163" s="382"/>
      <c r="G163" s="382"/>
      <c r="H163" s="382"/>
      <c r="I163" s="382"/>
      <c r="J163" s="432"/>
    </row>
    <row r="164" spans="1:10" s="349" customFormat="1" x14ac:dyDescent="0.25">
      <c r="A164" s="378"/>
      <c r="B164" s="376"/>
      <c r="C164" s="376"/>
      <c r="D164" s="377"/>
      <c r="E164" s="377"/>
      <c r="F164" s="377"/>
      <c r="G164" s="377"/>
      <c r="H164" s="377"/>
      <c r="I164" s="377"/>
      <c r="J164" s="432"/>
    </row>
    <row r="165" spans="1:10" s="349" customFormat="1" x14ac:dyDescent="0.25">
      <c r="A165" s="378"/>
      <c r="B165" s="376"/>
      <c r="C165" s="376"/>
      <c r="D165" s="377"/>
      <c r="E165" s="377"/>
      <c r="F165" s="377"/>
      <c r="G165" s="377"/>
      <c r="H165" s="377"/>
      <c r="I165" s="377"/>
      <c r="J165" s="400"/>
    </row>
    <row r="166" spans="1:10" s="349" customFormat="1" x14ac:dyDescent="0.25">
      <c r="A166" s="378"/>
      <c r="B166" s="376"/>
      <c r="C166" s="376"/>
      <c r="D166" s="377"/>
      <c r="E166" s="377"/>
      <c r="F166" s="377"/>
      <c r="G166" s="377"/>
      <c r="H166" s="377"/>
      <c r="I166" s="377"/>
      <c r="J166" s="432"/>
    </row>
    <row r="167" spans="1:10" s="349" customFormat="1" x14ac:dyDescent="0.25">
      <c r="A167" s="378"/>
      <c r="B167" s="376"/>
      <c r="C167" s="376"/>
      <c r="D167" s="382"/>
      <c r="E167" s="382"/>
      <c r="F167" s="382"/>
      <c r="G167" s="382"/>
      <c r="H167" s="382"/>
      <c r="I167" s="382"/>
      <c r="J167" s="432"/>
    </row>
    <row r="168" spans="1:10" s="349" customFormat="1" x14ac:dyDescent="0.25">
      <c r="A168" s="378"/>
      <c r="B168" s="376"/>
      <c r="C168" s="376"/>
      <c r="D168" s="377"/>
      <c r="E168" s="377"/>
      <c r="F168" s="377"/>
      <c r="G168" s="377"/>
      <c r="H168" s="377"/>
      <c r="I168" s="377"/>
      <c r="J168" s="432"/>
    </row>
    <row r="169" spans="1:10" s="349" customFormat="1" x14ac:dyDescent="0.25">
      <c r="A169" s="394"/>
      <c r="B169" s="376"/>
      <c r="C169" s="376"/>
      <c r="D169" s="393"/>
      <c r="E169" s="393"/>
      <c r="F169" s="393"/>
      <c r="G169" s="393"/>
      <c r="H169" s="393"/>
      <c r="I169" s="393"/>
      <c r="J169" s="400"/>
    </row>
    <row r="170" spans="1:10" s="349" customFormat="1" x14ac:dyDescent="0.25">
      <c r="A170" s="394"/>
      <c r="B170" s="376"/>
      <c r="C170" s="376"/>
      <c r="D170" s="393"/>
      <c r="E170" s="393"/>
      <c r="F170" s="393"/>
      <c r="G170" s="393"/>
      <c r="H170" s="393"/>
      <c r="I170" s="393"/>
      <c r="J170" s="432"/>
    </row>
    <row r="171" spans="1:10" s="349" customFormat="1" x14ac:dyDescent="0.25">
      <c r="A171" s="394"/>
      <c r="B171" s="376"/>
      <c r="C171" s="376"/>
      <c r="D171" s="393"/>
      <c r="E171" s="393"/>
      <c r="F171" s="393"/>
      <c r="G171" s="393"/>
      <c r="H171" s="393"/>
      <c r="I171" s="393"/>
      <c r="J171" s="432"/>
    </row>
    <row r="172" spans="1:10" s="349" customFormat="1" x14ac:dyDescent="0.25">
      <c r="A172" s="378"/>
      <c r="B172" s="376"/>
      <c r="C172" s="376"/>
      <c r="D172" s="377"/>
      <c r="E172" s="377"/>
      <c r="F172" s="377"/>
      <c r="G172" s="377"/>
      <c r="H172" s="377"/>
      <c r="I172" s="377"/>
      <c r="J172" s="432"/>
    </row>
    <row r="173" spans="1:10" s="349" customFormat="1" x14ac:dyDescent="0.25">
      <c r="A173" s="394"/>
      <c r="B173" s="376"/>
      <c r="C173" s="376"/>
      <c r="D173" s="377"/>
      <c r="E173" s="377"/>
      <c r="F173" s="377"/>
      <c r="G173" s="377"/>
      <c r="H173" s="377"/>
      <c r="I173" s="377"/>
      <c r="J173" s="432"/>
    </row>
    <row r="174" spans="1:10" s="349" customFormat="1" x14ac:dyDescent="0.25">
      <c r="A174" s="378"/>
      <c r="B174" s="376"/>
      <c r="C174" s="376"/>
      <c r="D174" s="377"/>
      <c r="E174" s="377"/>
      <c r="F174" s="377"/>
      <c r="G174" s="377"/>
      <c r="H174" s="377"/>
      <c r="I174" s="377"/>
      <c r="J174" s="432"/>
    </row>
    <row r="175" spans="1:10" s="349" customFormat="1" x14ac:dyDescent="0.25">
      <c r="A175" s="378"/>
      <c r="B175" s="376"/>
      <c r="C175" s="376"/>
      <c r="D175" s="377"/>
      <c r="E175" s="377"/>
      <c r="F175" s="377"/>
      <c r="G175" s="377"/>
      <c r="H175" s="377"/>
      <c r="I175" s="377"/>
      <c r="J175" s="400"/>
    </row>
    <row r="176" spans="1:10" s="349" customFormat="1" x14ac:dyDescent="0.25">
      <c r="A176" s="378"/>
      <c r="B176" s="376"/>
      <c r="C176" s="376"/>
      <c r="D176" s="377"/>
      <c r="E176" s="377"/>
      <c r="F176" s="377"/>
      <c r="G176" s="377"/>
      <c r="H176" s="377"/>
      <c r="I176" s="377"/>
      <c r="J176" s="432"/>
    </row>
    <row r="177" spans="1:10" s="349" customFormat="1" x14ac:dyDescent="0.25">
      <c r="A177" s="378"/>
      <c r="B177" s="376"/>
      <c r="C177" s="376"/>
      <c r="D177" s="382"/>
      <c r="E177" s="382"/>
      <c r="F177" s="382"/>
      <c r="G177" s="382"/>
      <c r="H177" s="382"/>
      <c r="I177" s="382"/>
      <c r="J177" s="432"/>
    </row>
    <row r="178" spans="1:10" s="349" customFormat="1" x14ac:dyDescent="0.25">
      <c r="A178" s="378"/>
      <c r="B178" s="376"/>
      <c r="C178" s="376"/>
      <c r="D178" s="377"/>
      <c r="E178" s="377"/>
      <c r="F178" s="377"/>
      <c r="G178" s="377"/>
      <c r="H178" s="377"/>
      <c r="I178" s="377"/>
      <c r="J178" s="432"/>
    </row>
    <row r="179" spans="1:10" s="349" customFormat="1" x14ac:dyDescent="0.25">
      <c r="A179" s="378"/>
      <c r="B179" s="376"/>
      <c r="C179" s="376"/>
      <c r="D179" s="377"/>
      <c r="E179" s="377"/>
      <c r="F179" s="377"/>
      <c r="G179" s="377"/>
      <c r="H179" s="377"/>
      <c r="I179" s="377"/>
      <c r="J179" s="400"/>
    </row>
    <row r="180" spans="1:10" s="349" customFormat="1" x14ac:dyDescent="0.25">
      <c r="A180" s="378"/>
      <c r="B180" s="376"/>
      <c r="C180" s="376"/>
      <c r="D180" s="377"/>
      <c r="E180" s="377"/>
      <c r="F180" s="377"/>
      <c r="G180" s="377"/>
      <c r="H180" s="377"/>
      <c r="I180" s="377"/>
      <c r="J180" s="432"/>
    </row>
    <row r="181" spans="1:10" s="349" customFormat="1" x14ac:dyDescent="0.25">
      <c r="A181" s="378"/>
      <c r="B181" s="376"/>
      <c r="C181" s="376"/>
      <c r="D181" s="382"/>
      <c r="E181" s="382"/>
      <c r="F181" s="382"/>
      <c r="G181" s="382"/>
      <c r="H181" s="382"/>
      <c r="I181" s="382"/>
      <c r="J181" s="432"/>
    </row>
    <row r="182" spans="1:10" s="349" customFormat="1" x14ac:dyDescent="0.25">
      <c r="A182" s="378"/>
      <c r="B182" s="376"/>
      <c r="C182" s="376"/>
      <c r="D182" s="377"/>
      <c r="E182" s="377"/>
      <c r="F182" s="377"/>
      <c r="G182" s="377"/>
      <c r="H182" s="377"/>
      <c r="I182" s="377"/>
      <c r="J182" s="432"/>
    </row>
    <row r="183" spans="1:10" s="349" customFormat="1" x14ac:dyDescent="0.25">
      <c r="A183" s="378"/>
      <c r="B183" s="376"/>
      <c r="C183" s="376"/>
      <c r="D183" s="377"/>
      <c r="E183" s="377"/>
      <c r="F183" s="377"/>
      <c r="G183" s="377"/>
      <c r="H183" s="377"/>
      <c r="I183" s="377"/>
      <c r="J183" s="400"/>
    </row>
    <row r="184" spans="1:10" s="349" customFormat="1" x14ac:dyDescent="0.25">
      <c r="A184" s="378"/>
      <c r="B184" s="376"/>
      <c r="C184" s="376"/>
      <c r="D184" s="377"/>
      <c r="E184" s="377"/>
      <c r="F184" s="377"/>
      <c r="G184" s="377"/>
      <c r="H184" s="377"/>
      <c r="I184" s="377"/>
      <c r="J184" s="432"/>
    </row>
    <row r="185" spans="1:10" s="349" customFormat="1" x14ac:dyDescent="0.25">
      <c r="A185" s="378"/>
      <c r="B185" s="376"/>
      <c r="C185" s="376"/>
      <c r="D185" s="382"/>
      <c r="E185" s="382"/>
      <c r="F185" s="382"/>
      <c r="G185" s="382"/>
      <c r="H185" s="382"/>
      <c r="I185" s="382"/>
      <c r="J185" s="432"/>
    </row>
    <row r="186" spans="1:10" s="349" customFormat="1" x14ac:dyDescent="0.25">
      <c r="A186" s="378"/>
      <c r="B186" s="376"/>
      <c r="C186" s="376"/>
      <c r="D186" s="377"/>
      <c r="E186" s="377"/>
      <c r="F186" s="377"/>
      <c r="G186" s="377"/>
      <c r="H186" s="377"/>
      <c r="I186" s="377"/>
      <c r="J186" s="432"/>
    </row>
    <row r="187" spans="1:10" s="349" customFormat="1" x14ac:dyDescent="0.25">
      <c r="A187" s="378"/>
      <c r="B187" s="376"/>
      <c r="C187" s="376"/>
      <c r="D187" s="377"/>
      <c r="E187" s="377"/>
      <c r="F187" s="377"/>
      <c r="G187" s="377"/>
      <c r="H187" s="377"/>
      <c r="I187" s="377"/>
      <c r="J187" s="400"/>
    </row>
    <row r="188" spans="1:10" s="349" customFormat="1" x14ac:dyDescent="0.25">
      <c r="A188" s="378"/>
      <c r="B188" s="376"/>
      <c r="C188" s="376"/>
      <c r="D188" s="377"/>
      <c r="E188" s="377"/>
      <c r="F188" s="377"/>
      <c r="G188" s="377"/>
      <c r="H188" s="377"/>
      <c r="I188" s="377"/>
      <c r="J188" s="432"/>
    </row>
    <row r="189" spans="1:10" s="349" customFormat="1" x14ac:dyDescent="0.25">
      <c r="A189" s="378"/>
      <c r="B189" s="376"/>
      <c r="C189" s="376"/>
      <c r="D189" s="382"/>
      <c r="E189" s="382"/>
      <c r="F189" s="382"/>
      <c r="G189" s="382"/>
      <c r="H189" s="382"/>
      <c r="I189" s="382"/>
      <c r="J189" s="432"/>
    </row>
    <row r="190" spans="1:10" s="349" customFormat="1" x14ac:dyDescent="0.25">
      <c r="A190" s="378"/>
      <c r="B190" s="376"/>
      <c r="C190" s="376"/>
      <c r="D190" s="377"/>
      <c r="E190" s="377"/>
      <c r="F190" s="377"/>
      <c r="G190" s="377"/>
      <c r="H190" s="377"/>
      <c r="I190" s="377"/>
      <c r="J190" s="432"/>
    </row>
    <row r="191" spans="1:10" s="349" customFormat="1" x14ac:dyDescent="0.25">
      <c r="A191" s="378"/>
      <c r="B191" s="376"/>
      <c r="C191" s="376"/>
      <c r="D191" s="377"/>
      <c r="E191" s="377"/>
      <c r="F191" s="377"/>
      <c r="G191" s="377"/>
      <c r="H191" s="377"/>
      <c r="I191" s="377"/>
      <c r="J191" s="432"/>
    </row>
    <row r="192" spans="1:10" s="349" customFormat="1" x14ac:dyDescent="0.25">
      <c r="A192" s="378"/>
      <c r="B192" s="376"/>
      <c r="C192" s="376"/>
      <c r="D192" s="377"/>
      <c r="E192" s="377"/>
      <c r="F192" s="377"/>
      <c r="G192" s="377"/>
      <c r="H192" s="377"/>
      <c r="I192" s="377"/>
      <c r="J192" s="400"/>
    </row>
    <row r="193" spans="1:10" s="349" customFormat="1" x14ac:dyDescent="0.25">
      <c r="A193" s="378"/>
      <c r="B193" s="376"/>
      <c r="C193" s="376"/>
      <c r="D193" s="377"/>
      <c r="E193" s="377"/>
      <c r="F193" s="377"/>
      <c r="G193" s="377"/>
      <c r="H193" s="377"/>
      <c r="I193" s="377"/>
      <c r="J193" s="432"/>
    </row>
    <row r="194" spans="1:10" s="349" customFormat="1" x14ac:dyDescent="0.25">
      <c r="A194" s="378"/>
      <c r="B194" s="376"/>
      <c r="C194" s="376"/>
      <c r="D194" s="382"/>
      <c r="E194" s="382"/>
      <c r="F194" s="382"/>
      <c r="G194" s="382"/>
      <c r="H194" s="382"/>
      <c r="I194" s="382"/>
      <c r="J194" s="432"/>
    </row>
    <row r="195" spans="1:10" s="349" customFormat="1" x14ac:dyDescent="0.25">
      <c r="A195" s="378"/>
      <c r="B195" s="376"/>
      <c r="C195" s="376"/>
      <c r="D195" s="377"/>
      <c r="E195" s="377"/>
      <c r="F195" s="377"/>
      <c r="G195" s="377"/>
      <c r="H195" s="377"/>
      <c r="I195" s="377"/>
      <c r="J195" s="432"/>
    </row>
    <row r="196" spans="1:10" s="349" customFormat="1" x14ac:dyDescent="0.25">
      <c r="A196" s="378"/>
      <c r="B196" s="376"/>
      <c r="C196" s="376"/>
      <c r="D196" s="377"/>
      <c r="E196" s="377"/>
      <c r="F196" s="377"/>
      <c r="G196" s="377"/>
      <c r="H196" s="377"/>
      <c r="I196" s="377"/>
      <c r="J196" s="400"/>
    </row>
    <row r="197" spans="1:10" s="349" customFormat="1" x14ac:dyDescent="0.25">
      <c r="A197" s="378"/>
      <c r="B197" s="376"/>
      <c r="C197" s="376"/>
      <c r="D197" s="377"/>
      <c r="E197" s="377"/>
      <c r="F197" s="377"/>
      <c r="G197" s="377"/>
      <c r="H197" s="377"/>
      <c r="I197" s="377"/>
      <c r="J197" s="432"/>
    </row>
    <row r="198" spans="1:10" s="349" customFormat="1" x14ac:dyDescent="0.25">
      <c r="A198" s="378"/>
      <c r="B198" s="376"/>
      <c r="C198" s="376"/>
      <c r="D198" s="382"/>
      <c r="E198" s="382"/>
      <c r="F198" s="382"/>
      <c r="G198" s="382"/>
      <c r="H198" s="382"/>
      <c r="I198" s="382"/>
      <c r="J198" s="432"/>
    </row>
    <row r="199" spans="1:10" s="349" customFormat="1" x14ac:dyDescent="0.25">
      <c r="A199" s="378"/>
      <c r="B199" s="376"/>
      <c r="C199" s="376"/>
      <c r="D199" s="377"/>
      <c r="E199" s="377"/>
      <c r="F199" s="377"/>
      <c r="G199" s="377"/>
      <c r="H199" s="377"/>
      <c r="I199" s="377"/>
      <c r="J199" s="432"/>
    </row>
    <row r="200" spans="1:10" s="349" customFormat="1" x14ac:dyDescent="0.25">
      <c r="A200" s="394"/>
      <c r="B200" s="376"/>
      <c r="C200" s="376"/>
      <c r="D200" s="393"/>
      <c r="E200" s="393"/>
      <c r="F200" s="393"/>
      <c r="G200" s="393"/>
      <c r="H200" s="393"/>
      <c r="I200" s="393"/>
      <c r="J200" s="400"/>
    </row>
    <row r="201" spans="1:10" s="349" customFormat="1" x14ac:dyDescent="0.25">
      <c r="A201" s="378"/>
      <c r="B201" s="376"/>
      <c r="C201" s="376"/>
      <c r="D201" s="377"/>
      <c r="E201" s="377"/>
      <c r="F201" s="377"/>
      <c r="G201" s="377"/>
      <c r="H201" s="377"/>
      <c r="I201" s="377"/>
      <c r="J201" s="432"/>
    </row>
    <row r="202" spans="1:10" s="349" customFormat="1" x14ac:dyDescent="0.25">
      <c r="A202" s="394"/>
      <c r="B202" s="376"/>
      <c r="C202" s="376"/>
      <c r="D202" s="377"/>
      <c r="E202" s="377"/>
      <c r="F202" s="377"/>
      <c r="G202" s="377"/>
      <c r="H202" s="377"/>
      <c r="I202" s="377"/>
      <c r="J202" s="443"/>
    </row>
    <row r="203" spans="1:10" s="349" customFormat="1" x14ac:dyDescent="0.25">
      <c r="A203" s="375"/>
      <c r="B203" s="376"/>
      <c r="C203" s="376"/>
      <c r="D203" s="377"/>
      <c r="E203" s="377"/>
      <c r="F203" s="377"/>
      <c r="G203" s="377"/>
      <c r="H203" s="377"/>
      <c r="I203" s="377"/>
      <c r="J203" s="400"/>
    </row>
    <row r="204" spans="1:10" s="349" customFormat="1" x14ac:dyDescent="0.25">
      <c r="A204" s="375"/>
      <c r="B204" s="376"/>
      <c r="C204" s="376"/>
      <c r="D204" s="377"/>
      <c r="E204" s="377"/>
      <c r="F204" s="377"/>
      <c r="G204" s="377"/>
      <c r="H204" s="377"/>
      <c r="I204" s="427"/>
      <c r="J204" s="400"/>
    </row>
    <row r="205" spans="1:10" ht="15.75" thickBot="1" x14ac:dyDescent="0.3">
      <c r="A205" s="17"/>
      <c r="B205" s="18"/>
      <c r="C205" s="18"/>
      <c r="D205" s="19"/>
      <c r="E205" s="19"/>
      <c r="F205" s="19"/>
      <c r="G205" s="19"/>
      <c r="H205" s="19"/>
      <c r="I205" s="19"/>
      <c r="J205" s="387"/>
    </row>
  </sheetData>
  <mergeCells count="1">
    <mergeCell ref="D24:E24"/>
  </mergeCells>
  <printOptions gridLines="1"/>
  <pageMargins left="0.70866141732283472" right="0.70866141732283472" top="0.74803149606299213" bottom="0.74803149606299213" header="0.31496062992125984" footer="0.31496062992125984"/>
  <pageSetup paperSize="9" scale="1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O22"/>
  <sheetViews>
    <sheetView workbookViewId="0">
      <selection activeCell="M10" sqref="M10"/>
    </sheetView>
  </sheetViews>
  <sheetFormatPr defaultRowHeight="15" x14ac:dyDescent="0.25"/>
  <cols>
    <col min="1" max="1" width="28.140625" bestFit="1" customWidth="1"/>
  </cols>
  <sheetData>
    <row r="3" spans="1:14" s="3" customFormat="1" x14ac:dyDescent="0.3">
      <c r="B3" s="458" t="s">
        <v>11</v>
      </c>
      <c r="C3" s="459"/>
      <c r="D3" s="459"/>
      <c r="E3" s="460"/>
      <c r="F3" s="22"/>
      <c r="G3" s="23"/>
      <c r="H3" s="23"/>
      <c r="I3" s="458" t="s">
        <v>12</v>
      </c>
      <c r="J3" s="459"/>
      <c r="K3" s="459"/>
      <c r="L3" s="459"/>
      <c r="M3" s="459"/>
      <c r="N3" s="460"/>
    </row>
    <row r="4" spans="1:14" x14ac:dyDescent="0.3">
      <c r="A4" s="6" t="s">
        <v>13</v>
      </c>
      <c r="B4" s="24">
        <v>2011</v>
      </c>
      <c r="C4" s="25">
        <v>2012</v>
      </c>
      <c r="D4" s="25">
        <v>2013</v>
      </c>
      <c r="E4" s="26">
        <v>2014</v>
      </c>
      <c r="F4" s="27"/>
      <c r="G4" s="23" t="s">
        <v>14</v>
      </c>
      <c r="H4" s="28"/>
      <c r="I4" s="29">
        <v>2015</v>
      </c>
      <c r="J4" s="22">
        <v>2016</v>
      </c>
      <c r="K4" s="22">
        <v>2017</v>
      </c>
      <c r="L4" s="22">
        <v>2018</v>
      </c>
      <c r="M4" s="22">
        <v>2019</v>
      </c>
      <c r="N4" s="30">
        <v>2020</v>
      </c>
    </row>
    <row r="5" spans="1:14" x14ac:dyDescent="0.3">
      <c r="A5" s="6"/>
      <c r="B5" s="31"/>
      <c r="C5" s="32"/>
      <c r="D5" s="32"/>
      <c r="E5" s="33"/>
      <c r="F5" s="34"/>
      <c r="G5" s="35"/>
      <c r="I5" s="36"/>
      <c r="J5" s="15"/>
      <c r="K5" s="15"/>
      <c r="L5" s="15"/>
      <c r="M5" s="15"/>
      <c r="N5" s="37"/>
    </row>
    <row r="6" spans="1:14" x14ac:dyDescent="0.3">
      <c r="A6" s="38" t="s">
        <v>15</v>
      </c>
      <c r="B6" s="39">
        <v>59990</v>
      </c>
      <c r="C6" s="40">
        <v>61957</v>
      </c>
      <c r="D6" s="40">
        <v>63932</v>
      </c>
      <c r="E6" s="41">
        <v>69283</v>
      </c>
      <c r="F6" s="34"/>
      <c r="G6" s="42">
        <f>AVERAGE(B6:E6)</f>
        <v>63790.5</v>
      </c>
      <c r="I6" s="43">
        <f>$G$6</f>
        <v>63790.5</v>
      </c>
      <c r="J6" s="44">
        <f t="shared" ref="J6:N7" si="0">$G$6</f>
        <v>63790.5</v>
      </c>
      <c r="K6" s="12"/>
      <c r="L6" s="12"/>
      <c r="M6" s="12"/>
      <c r="N6" s="45"/>
    </row>
    <row r="7" spans="1:14" x14ac:dyDescent="0.3">
      <c r="A7" s="38" t="s">
        <v>16</v>
      </c>
      <c r="B7" s="39"/>
      <c r="C7" s="40"/>
      <c r="D7" s="40"/>
      <c r="E7" s="41"/>
      <c r="F7" s="34"/>
      <c r="G7" s="42"/>
      <c r="I7" s="43"/>
      <c r="J7" s="44"/>
      <c r="K7" s="44">
        <f t="shared" si="0"/>
        <v>63790.5</v>
      </c>
      <c r="L7" s="44">
        <f t="shared" si="0"/>
        <v>63790.5</v>
      </c>
      <c r="M7" s="44">
        <f t="shared" si="0"/>
        <v>63790.5</v>
      </c>
      <c r="N7" s="46">
        <f t="shared" si="0"/>
        <v>63790.5</v>
      </c>
    </row>
    <row r="8" spans="1:14" x14ac:dyDescent="0.3">
      <c r="A8" s="38" t="s">
        <v>17</v>
      </c>
      <c r="B8" s="39">
        <v>103347</v>
      </c>
      <c r="C8" s="40">
        <v>100763</v>
      </c>
      <c r="D8" s="40">
        <v>104358</v>
      </c>
      <c r="E8" s="41">
        <v>107894</v>
      </c>
      <c r="F8" s="34"/>
      <c r="G8" s="42">
        <f t="shared" ref="G8:G12" si="1">AVERAGE(B8:E8)</f>
        <v>104090.5</v>
      </c>
      <c r="I8" s="43">
        <f>$G$8</f>
        <v>104090.5</v>
      </c>
      <c r="J8" s="44">
        <f t="shared" ref="J8:N9" si="2">$G$8</f>
        <v>104090.5</v>
      </c>
      <c r="K8" s="12"/>
      <c r="L8" s="12"/>
      <c r="M8" s="12"/>
      <c r="N8" s="45"/>
    </row>
    <row r="9" spans="1:14" x14ac:dyDescent="0.3">
      <c r="A9" s="38" t="s">
        <v>18</v>
      </c>
      <c r="B9" s="39"/>
      <c r="C9" s="40"/>
      <c r="D9" s="40"/>
      <c r="E9" s="41"/>
      <c r="F9" s="34"/>
      <c r="G9" s="42"/>
      <c r="I9" s="43"/>
      <c r="J9" s="44"/>
      <c r="K9" s="44">
        <f t="shared" si="2"/>
        <v>104090.5</v>
      </c>
      <c r="L9" s="44">
        <f t="shared" si="2"/>
        <v>104090.5</v>
      </c>
      <c r="M9" s="44">
        <f t="shared" si="2"/>
        <v>104090.5</v>
      </c>
      <c r="N9" s="46">
        <f t="shared" si="2"/>
        <v>104090.5</v>
      </c>
    </row>
    <row r="10" spans="1:14" x14ac:dyDescent="0.3">
      <c r="A10" s="38" t="s">
        <v>19</v>
      </c>
      <c r="B10" s="39">
        <v>35664</v>
      </c>
      <c r="C10" s="40">
        <v>54895</v>
      </c>
      <c r="D10" s="40">
        <v>58792</v>
      </c>
      <c r="E10" s="41">
        <v>37659</v>
      </c>
      <c r="F10" s="34"/>
      <c r="G10" s="42">
        <f t="shared" si="1"/>
        <v>46752.5</v>
      </c>
      <c r="I10" s="43">
        <v>37583.925000000003</v>
      </c>
      <c r="J10" s="44">
        <v>30067.140000000003</v>
      </c>
      <c r="K10" s="44">
        <v>2555.706900000001</v>
      </c>
      <c r="L10" s="44">
        <v>1150.0681050000021</v>
      </c>
      <c r="M10" s="44">
        <v>655.53881985000044</v>
      </c>
      <c r="N10" s="46">
        <v>613.97550000000047</v>
      </c>
    </row>
    <row r="11" spans="1:14" x14ac:dyDescent="0.3">
      <c r="A11" s="38" t="s">
        <v>20</v>
      </c>
      <c r="B11" s="39"/>
      <c r="C11" s="40"/>
      <c r="D11" s="40"/>
      <c r="E11" s="41"/>
      <c r="F11" s="34"/>
      <c r="G11" s="42"/>
      <c r="I11" s="43"/>
      <c r="J11" s="12"/>
      <c r="K11" s="44">
        <v>23001.362100000002</v>
      </c>
      <c r="L11" s="44">
        <v>21851.293995</v>
      </c>
      <c r="M11" s="44">
        <v>21195.75517515</v>
      </c>
      <c r="N11" s="46">
        <v>19851.874500000002</v>
      </c>
    </row>
    <row r="12" spans="1:14" x14ac:dyDescent="0.3">
      <c r="A12" s="38" t="s">
        <v>21</v>
      </c>
      <c r="B12" s="39"/>
      <c r="C12" s="40"/>
      <c r="D12" s="47">
        <v>10541</v>
      </c>
      <c r="E12" s="48">
        <v>13394</v>
      </c>
      <c r="F12" s="34"/>
      <c r="G12" s="42">
        <f t="shared" si="1"/>
        <v>11967.5</v>
      </c>
      <c r="I12" s="43">
        <v>10100</v>
      </c>
      <c r="J12" s="44">
        <v>8900</v>
      </c>
      <c r="K12" s="44">
        <v>1170</v>
      </c>
      <c r="L12" s="44">
        <v>660</v>
      </c>
      <c r="M12" s="44">
        <v>540</v>
      </c>
      <c r="N12" s="46">
        <v>430</v>
      </c>
    </row>
    <row r="13" spans="1:14" x14ac:dyDescent="0.3">
      <c r="A13" s="38" t="s">
        <v>22</v>
      </c>
      <c r="B13" s="49"/>
      <c r="C13" s="50"/>
      <c r="D13" s="51"/>
      <c r="E13" s="52"/>
      <c r="F13" s="34"/>
      <c r="G13" s="42"/>
      <c r="I13" s="53"/>
      <c r="J13" s="54"/>
      <c r="K13" s="55">
        <v>6630</v>
      </c>
      <c r="L13" s="55">
        <v>5940</v>
      </c>
      <c r="M13" s="55">
        <v>4860</v>
      </c>
      <c r="N13" s="56">
        <v>3870</v>
      </c>
    </row>
    <row r="14" spans="1:14" x14ac:dyDescent="0.3">
      <c r="B14" s="57">
        <f>SUM(B6:B13)</f>
        <v>199001</v>
      </c>
      <c r="C14" s="57">
        <f t="shared" ref="C14:E14" si="3">SUM(C6:C13)</f>
        <v>217615</v>
      </c>
      <c r="D14" s="57">
        <f t="shared" si="3"/>
        <v>237623</v>
      </c>
      <c r="E14" s="57">
        <f t="shared" si="3"/>
        <v>228230</v>
      </c>
      <c r="F14" s="2"/>
      <c r="G14" s="2"/>
      <c r="I14" s="57">
        <f t="shared" ref="I14:N14" si="4">SUM(I6:I13)</f>
        <v>215564.92499999999</v>
      </c>
      <c r="J14" s="57">
        <f t="shared" si="4"/>
        <v>206848.14</v>
      </c>
      <c r="K14" s="57">
        <f t="shared" si="4"/>
        <v>201238.06899999999</v>
      </c>
      <c r="L14" s="57">
        <f t="shared" si="4"/>
        <v>197482.36210000003</v>
      </c>
      <c r="M14" s="57">
        <f t="shared" si="4"/>
        <v>195132.29399500001</v>
      </c>
      <c r="N14" s="57">
        <f t="shared" si="4"/>
        <v>192646.85</v>
      </c>
    </row>
    <row r="20" spans="5:15" x14ac:dyDescent="0.3">
      <c r="I20" s="58"/>
      <c r="J20" s="58"/>
      <c r="K20" s="58"/>
      <c r="L20" s="58"/>
      <c r="M20" s="58"/>
      <c r="N20" s="58"/>
    </row>
    <row r="22" spans="5:15" x14ac:dyDescent="0.3">
      <c r="E22" s="42"/>
      <c r="I22" s="42"/>
      <c r="J22" s="42"/>
      <c r="K22" s="42"/>
      <c r="L22" s="42"/>
      <c r="M22" s="42"/>
      <c r="N22" s="42"/>
      <c r="O22" s="42"/>
    </row>
  </sheetData>
  <mergeCells count="2">
    <mergeCell ref="B3:E3"/>
    <mergeCell ref="I3:N3"/>
  </mergeCells>
  <pageMargins left="0.7" right="0.7" top="0.75" bottom="0.75" header="0.3" footer="0.3"/>
  <pageSetup paperSize="9"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C8" sqref="C8:H8"/>
    </sheetView>
  </sheetViews>
  <sheetFormatPr defaultRowHeight="15" x14ac:dyDescent="0.25"/>
  <cols>
    <col min="1" max="1" width="45.28515625" bestFit="1" customWidth="1"/>
    <col min="3" max="8" width="9.140625" bestFit="1" customWidth="1"/>
  </cols>
  <sheetData>
    <row r="1" spans="1:8" ht="14.45" x14ac:dyDescent="0.3">
      <c r="C1" s="464" t="s">
        <v>176</v>
      </c>
      <c r="D1" s="464"/>
      <c r="E1" s="464"/>
      <c r="F1" s="464"/>
      <c r="G1" s="464"/>
      <c r="H1" s="464"/>
    </row>
    <row r="2" spans="1:8" ht="14.45" x14ac:dyDescent="0.3">
      <c r="C2" s="3" t="s">
        <v>177</v>
      </c>
      <c r="D2" s="3" t="s">
        <v>178</v>
      </c>
      <c r="E2" s="3" t="s">
        <v>179</v>
      </c>
      <c r="F2" s="3" t="s">
        <v>180</v>
      </c>
      <c r="G2" s="3" t="s">
        <v>181</v>
      </c>
      <c r="H2" s="3" t="s">
        <v>182</v>
      </c>
    </row>
    <row r="3" spans="1:8" x14ac:dyDescent="0.25">
      <c r="A3" s="461" t="s">
        <v>169</v>
      </c>
      <c r="B3" t="s">
        <v>170</v>
      </c>
      <c r="C3" s="69">
        <v>780</v>
      </c>
      <c r="D3" s="69">
        <v>764</v>
      </c>
      <c r="E3" s="69">
        <v>749</v>
      </c>
      <c r="F3" s="69">
        <v>728</v>
      </c>
      <c r="G3" s="69">
        <v>713</v>
      </c>
      <c r="H3" s="69">
        <v>713</v>
      </c>
    </row>
    <row r="4" spans="1:8" x14ac:dyDescent="0.25">
      <c r="A4" s="462"/>
      <c r="B4" t="s">
        <v>171</v>
      </c>
      <c r="C4" s="69">
        <v>2069</v>
      </c>
      <c r="D4" s="69">
        <v>2022</v>
      </c>
      <c r="E4" s="69">
        <v>1974</v>
      </c>
      <c r="F4" s="69">
        <v>1934</v>
      </c>
      <c r="G4" s="69">
        <v>1895</v>
      </c>
      <c r="H4" s="69">
        <v>1895</v>
      </c>
    </row>
    <row r="5" spans="1:8" x14ac:dyDescent="0.25">
      <c r="A5" s="462"/>
      <c r="B5" t="s">
        <v>172</v>
      </c>
      <c r="C5" s="69">
        <v>300</v>
      </c>
      <c r="D5" s="69">
        <v>300</v>
      </c>
      <c r="E5" s="69">
        <v>300</v>
      </c>
      <c r="F5" s="69">
        <v>300</v>
      </c>
      <c r="G5" s="69">
        <v>300</v>
      </c>
      <c r="H5" s="69">
        <v>300</v>
      </c>
    </row>
    <row r="6" spans="1:8" x14ac:dyDescent="0.25">
      <c r="A6" s="462"/>
      <c r="B6" t="s">
        <v>173</v>
      </c>
      <c r="C6" s="69">
        <v>1734</v>
      </c>
      <c r="D6" s="69">
        <v>1699</v>
      </c>
      <c r="E6" s="69">
        <v>1665</v>
      </c>
      <c r="F6" s="69">
        <v>1631</v>
      </c>
      <c r="G6" s="69">
        <v>1598</v>
      </c>
      <c r="H6" s="69">
        <v>1598</v>
      </c>
    </row>
    <row r="7" spans="1:8" x14ac:dyDescent="0.25">
      <c r="A7" s="462"/>
      <c r="B7" t="s">
        <v>174</v>
      </c>
      <c r="C7" s="69">
        <v>123</v>
      </c>
      <c r="D7" s="69">
        <v>120</v>
      </c>
      <c r="E7" s="69">
        <v>118</v>
      </c>
      <c r="F7" s="69">
        <v>115</v>
      </c>
      <c r="G7" s="69">
        <v>107</v>
      </c>
      <c r="H7" s="69">
        <v>107</v>
      </c>
    </row>
    <row r="8" spans="1:8" x14ac:dyDescent="0.25">
      <c r="A8" s="462"/>
      <c r="B8" t="s">
        <v>175</v>
      </c>
      <c r="C8" s="263">
        <f>SUM(C3:C7)</f>
        <v>5006</v>
      </c>
      <c r="D8" s="263">
        <f t="shared" ref="D8:H8" si="0">SUM(D3:D7)</f>
        <v>4905</v>
      </c>
      <c r="E8" s="263">
        <f t="shared" si="0"/>
        <v>4806</v>
      </c>
      <c r="F8" s="263">
        <f t="shared" si="0"/>
        <v>4708</v>
      </c>
      <c r="G8" s="263">
        <f t="shared" si="0"/>
        <v>4613</v>
      </c>
      <c r="H8" s="263">
        <f t="shared" si="0"/>
        <v>4613</v>
      </c>
    </row>
    <row r="9" spans="1:8" x14ac:dyDescent="0.25">
      <c r="A9" s="463"/>
      <c r="C9" s="69"/>
      <c r="D9" s="69"/>
      <c r="E9" s="69"/>
      <c r="F9" s="69"/>
      <c r="G9" s="69"/>
      <c r="H9" s="69"/>
    </row>
  </sheetData>
  <mergeCells count="2">
    <mergeCell ref="A3:A9"/>
    <mergeCell ref="C1:H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B21" sqref="B21"/>
    </sheetView>
  </sheetViews>
  <sheetFormatPr defaultRowHeight="15" x14ac:dyDescent="0.25"/>
  <cols>
    <col min="1" max="1" width="15.42578125" bestFit="1" customWidth="1"/>
    <col min="2" max="2" width="12.28515625" bestFit="1" customWidth="1"/>
    <col min="3" max="3" width="14.42578125" customWidth="1"/>
    <col min="4" max="4" width="12.140625" customWidth="1"/>
    <col min="5" max="7" width="6.85546875" customWidth="1"/>
  </cols>
  <sheetData>
    <row r="1" spans="1:8" thickBot="1" x14ac:dyDescent="0.35">
      <c r="A1" s="109"/>
      <c r="B1" s="109"/>
      <c r="C1" s="465" t="s">
        <v>57</v>
      </c>
      <c r="D1" s="466"/>
      <c r="E1" s="466"/>
      <c r="F1" s="466"/>
      <c r="G1" s="467"/>
      <c r="H1" s="110"/>
    </row>
    <row r="2" spans="1:8" ht="33.6" customHeight="1" thickBot="1" x14ac:dyDescent="0.35">
      <c r="A2" s="111" t="s">
        <v>58</v>
      </c>
      <c r="B2" s="112" t="s">
        <v>59</v>
      </c>
      <c r="C2" s="120" t="s">
        <v>60</v>
      </c>
      <c r="D2" s="120" t="s">
        <v>61</v>
      </c>
      <c r="E2" s="112">
        <v>420</v>
      </c>
      <c r="F2" s="112">
        <v>430</v>
      </c>
      <c r="G2" s="112">
        <v>450</v>
      </c>
      <c r="H2" s="113" t="s">
        <v>62</v>
      </c>
    </row>
    <row r="3" spans="1:8" thickBot="1" x14ac:dyDescent="0.35">
      <c r="A3" s="114" t="s">
        <v>63</v>
      </c>
      <c r="B3" s="115" t="s">
        <v>64</v>
      </c>
      <c r="C3" s="121">
        <v>9175</v>
      </c>
      <c r="D3" s="121">
        <v>1425</v>
      </c>
      <c r="E3" s="121">
        <v>528</v>
      </c>
      <c r="F3" s="121">
        <v>1808</v>
      </c>
      <c r="G3" s="122">
        <v>74</v>
      </c>
      <c r="H3" s="123">
        <v>13010</v>
      </c>
    </row>
    <row r="4" spans="1:8" thickBot="1" x14ac:dyDescent="0.35">
      <c r="A4" s="116"/>
      <c r="B4" s="115" t="s">
        <v>65</v>
      </c>
      <c r="C4" s="121"/>
      <c r="D4" s="121"/>
      <c r="E4" s="121"/>
      <c r="F4" s="121"/>
      <c r="G4" s="122"/>
      <c r="H4" s="123">
        <v>2403</v>
      </c>
    </row>
    <row r="5" spans="1:8" thickBot="1" x14ac:dyDescent="0.35">
      <c r="A5" s="114" t="s">
        <v>66</v>
      </c>
      <c r="B5" s="115" t="s">
        <v>64</v>
      </c>
      <c r="C5" s="121">
        <v>5853</v>
      </c>
      <c r="D5" s="121">
        <v>6569</v>
      </c>
      <c r="E5" s="121">
        <v>141</v>
      </c>
      <c r="F5" s="121">
        <v>1690</v>
      </c>
      <c r="G5" s="122">
        <v>57</v>
      </c>
      <c r="H5" s="123">
        <v>14310</v>
      </c>
    </row>
    <row r="6" spans="1:8" thickBot="1" x14ac:dyDescent="0.35">
      <c r="A6" s="116"/>
      <c r="B6" s="115" t="s">
        <v>65</v>
      </c>
      <c r="C6" s="121"/>
      <c r="D6" s="121"/>
      <c r="E6" s="121"/>
      <c r="F6" s="121"/>
      <c r="G6" s="122"/>
      <c r="H6" s="123">
        <v>2378</v>
      </c>
    </row>
    <row r="7" spans="1:8" thickBot="1" x14ac:dyDescent="0.35">
      <c r="A7" s="117" t="s">
        <v>67</v>
      </c>
      <c r="B7" s="118" t="s">
        <v>64</v>
      </c>
      <c r="C7" s="124">
        <v>5911</v>
      </c>
      <c r="D7" s="124">
        <f>H7-C7-F7-G7-E7</f>
        <v>6920</v>
      </c>
      <c r="E7" s="124">
        <v>0</v>
      </c>
      <c r="F7" s="124">
        <v>1707</v>
      </c>
      <c r="G7" s="125">
        <v>57</v>
      </c>
      <c r="H7" s="126">
        <v>14595</v>
      </c>
    </row>
    <row r="8" spans="1:8" thickBot="1" x14ac:dyDescent="0.35">
      <c r="A8" s="119"/>
      <c r="B8" s="304"/>
      <c r="C8" s="305"/>
      <c r="D8" s="305"/>
      <c r="E8" s="305"/>
      <c r="F8" s="305"/>
      <c r="G8" s="306"/>
      <c r="H8" s="307"/>
    </row>
    <row r="9" spans="1:8" thickBot="1" x14ac:dyDescent="0.35">
      <c r="A9" s="117" t="s">
        <v>68</v>
      </c>
      <c r="B9" s="118" t="s">
        <v>64</v>
      </c>
      <c r="C9" s="124">
        <v>5970</v>
      </c>
      <c r="D9" s="124">
        <f>H9-C9-F9-G9-E9</f>
        <v>6299</v>
      </c>
      <c r="E9" s="124">
        <v>0</v>
      </c>
      <c r="F9" s="124">
        <v>1724</v>
      </c>
      <c r="G9" s="125">
        <v>58</v>
      </c>
      <c r="H9" s="126">
        <v>14051</v>
      </c>
    </row>
    <row r="10" spans="1:8" thickBot="1" x14ac:dyDescent="0.35">
      <c r="A10" s="119"/>
      <c r="B10" s="304"/>
      <c r="C10" s="305"/>
      <c r="D10" s="305"/>
      <c r="E10" s="305"/>
      <c r="F10" s="305"/>
      <c r="G10" s="306"/>
      <c r="H10" s="307"/>
    </row>
    <row r="11" spans="1:8" thickBot="1" x14ac:dyDescent="0.35">
      <c r="A11" s="117" t="s">
        <v>69</v>
      </c>
      <c r="B11" s="118" t="s">
        <v>64</v>
      </c>
      <c r="C11" s="124">
        <v>6030</v>
      </c>
      <c r="D11" s="124">
        <f>H11-C11-F11-G11-E11</f>
        <v>7484.5</v>
      </c>
      <c r="E11" s="124">
        <v>0</v>
      </c>
      <c r="F11" s="124">
        <v>1741</v>
      </c>
      <c r="G11" s="125">
        <v>58.5</v>
      </c>
      <c r="H11" s="126">
        <v>15314</v>
      </c>
    </row>
    <row r="12" spans="1:8" thickBot="1" x14ac:dyDescent="0.35">
      <c r="A12" s="119"/>
      <c r="B12" s="304"/>
      <c r="C12" s="305"/>
      <c r="D12" s="305"/>
      <c r="E12" s="305"/>
      <c r="F12" s="305"/>
      <c r="G12" s="306"/>
      <c r="H12" s="307"/>
    </row>
    <row r="13" spans="1:8" thickBot="1" x14ac:dyDescent="0.35">
      <c r="A13" s="117" t="s">
        <v>70</v>
      </c>
      <c r="B13" s="118" t="s">
        <v>64</v>
      </c>
      <c r="C13" s="124">
        <v>6090</v>
      </c>
      <c r="D13" s="124">
        <f>H13-C13-F13-G13-E13</f>
        <v>7254.7</v>
      </c>
      <c r="E13" s="124">
        <v>0</v>
      </c>
      <c r="F13" s="124">
        <v>1758</v>
      </c>
      <c r="G13" s="125">
        <v>59.3</v>
      </c>
      <c r="H13" s="126">
        <v>15162</v>
      </c>
    </row>
    <row r="14" spans="1:8" thickBot="1" x14ac:dyDescent="0.35">
      <c r="A14" s="119"/>
      <c r="B14" s="304"/>
      <c r="C14" s="305"/>
      <c r="D14" s="305"/>
      <c r="E14" s="305"/>
      <c r="F14" s="305"/>
      <c r="G14" s="306"/>
      <c r="H14" s="307"/>
    </row>
    <row r="15" spans="1:8" thickBot="1" x14ac:dyDescent="0.35">
      <c r="A15" s="117" t="s">
        <v>71</v>
      </c>
      <c r="B15" s="118" t="s">
        <v>64</v>
      </c>
      <c r="C15" s="124">
        <v>6151</v>
      </c>
      <c r="D15" s="124">
        <f>H15-C15-F15-G15-E15</f>
        <v>6570</v>
      </c>
      <c r="E15" s="124">
        <v>0</v>
      </c>
      <c r="F15" s="124">
        <v>1776</v>
      </c>
      <c r="G15" s="125">
        <v>60</v>
      </c>
      <c r="H15" s="126">
        <v>14557</v>
      </c>
    </row>
    <row r="16" spans="1:8" thickBot="1" x14ac:dyDescent="0.35">
      <c r="A16" s="119"/>
      <c r="B16" s="304"/>
      <c r="C16" s="305"/>
      <c r="D16" s="305"/>
      <c r="E16" s="305"/>
      <c r="F16" s="305"/>
      <c r="G16" s="306"/>
      <c r="H16" s="307"/>
    </row>
    <row r="17" spans="1:8" thickBot="1" x14ac:dyDescent="0.35">
      <c r="A17" s="117" t="s">
        <v>72</v>
      </c>
      <c r="B17" s="118" t="s">
        <v>64</v>
      </c>
      <c r="C17" s="124">
        <v>6213</v>
      </c>
      <c r="D17" s="124">
        <f>H17-C17-F17-G17-E17</f>
        <v>6396</v>
      </c>
      <c r="E17" s="124">
        <v>0</v>
      </c>
      <c r="F17" s="124">
        <v>1794</v>
      </c>
      <c r="G17" s="125">
        <v>61</v>
      </c>
      <c r="H17" s="126">
        <v>14464</v>
      </c>
    </row>
    <row r="18" spans="1:8" thickBot="1" x14ac:dyDescent="0.35">
      <c r="A18" s="119"/>
      <c r="B18" s="304"/>
      <c r="C18" s="305"/>
      <c r="D18" s="305"/>
      <c r="E18" s="305"/>
      <c r="F18" s="305"/>
      <c r="G18" s="306"/>
      <c r="H18" s="307"/>
    </row>
  </sheetData>
  <mergeCells count="1">
    <mergeCell ref="C1:G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topLeftCell="A22" workbookViewId="0">
      <selection activeCell="B47" sqref="B47"/>
    </sheetView>
  </sheetViews>
  <sheetFormatPr defaultRowHeight="15" x14ac:dyDescent="0.25"/>
  <cols>
    <col min="1" max="1" width="47.42578125" customWidth="1"/>
    <col min="2" max="3" width="14.28515625" customWidth="1"/>
    <col min="4" max="4" width="15.28515625" customWidth="1"/>
    <col min="5" max="10" width="12.85546875" customWidth="1"/>
    <col min="11" max="11" width="3.42578125" customWidth="1"/>
    <col min="12" max="12" width="54" style="60" customWidth="1"/>
  </cols>
  <sheetData>
    <row r="1" spans="1:12" ht="15.6" x14ac:dyDescent="0.3">
      <c r="A1" s="59" t="s">
        <v>279</v>
      </c>
      <c r="B1" s="59"/>
      <c r="C1" s="59"/>
    </row>
    <row r="2" spans="1:12" ht="14.45" x14ac:dyDescent="0.3">
      <c r="A2" s="308" t="s">
        <v>223</v>
      </c>
    </row>
    <row r="4" spans="1:12" ht="14.45" x14ac:dyDescent="0.3">
      <c r="A4" s="61" t="s">
        <v>23</v>
      </c>
      <c r="B4" s="61" t="s">
        <v>27</v>
      </c>
      <c r="C4" s="61" t="s">
        <v>29</v>
      </c>
      <c r="D4" s="61" t="s">
        <v>28</v>
      </c>
      <c r="E4" s="62" t="s">
        <v>3</v>
      </c>
      <c r="F4" s="62" t="s">
        <v>4</v>
      </c>
      <c r="G4" s="62" t="s">
        <v>5</v>
      </c>
      <c r="H4" s="62" t="s">
        <v>6</v>
      </c>
      <c r="I4" s="62" t="s">
        <v>7</v>
      </c>
      <c r="J4" s="62" t="s">
        <v>8</v>
      </c>
      <c r="L4" s="63" t="s">
        <v>24</v>
      </c>
    </row>
    <row r="5" spans="1:12" ht="14.45" x14ac:dyDescent="0.3">
      <c r="A5" s="61"/>
      <c r="B5" s="61"/>
      <c r="C5" s="61"/>
      <c r="D5" s="61"/>
      <c r="E5" s="64"/>
      <c r="F5" s="64"/>
      <c r="G5" s="64"/>
      <c r="H5" s="64"/>
      <c r="I5" s="64"/>
      <c r="J5" s="64"/>
      <c r="L5" s="65"/>
    </row>
    <row r="6" spans="1:12" ht="14.45" x14ac:dyDescent="0.3">
      <c r="A6" s="66" t="s">
        <v>281</v>
      </c>
      <c r="B6" s="66">
        <v>71</v>
      </c>
      <c r="C6" s="346"/>
      <c r="D6" s="347"/>
      <c r="E6" s="347"/>
      <c r="F6" s="347"/>
      <c r="G6" s="347"/>
      <c r="H6" s="347"/>
      <c r="I6" s="347"/>
      <c r="J6" s="347"/>
    </row>
    <row r="7" spans="1:12" ht="14.45" x14ac:dyDescent="0.3">
      <c r="A7" s="66" t="s">
        <v>282</v>
      </c>
      <c r="B7" s="66" t="s">
        <v>293</v>
      </c>
      <c r="C7" s="346"/>
      <c r="D7" s="348"/>
      <c r="E7" s="347"/>
      <c r="F7" s="347"/>
      <c r="G7" s="347"/>
      <c r="H7" s="347"/>
      <c r="I7" s="347"/>
      <c r="J7" s="347"/>
    </row>
    <row r="8" spans="1:12" ht="14.45" x14ac:dyDescent="0.3">
      <c r="A8" s="66" t="s">
        <v>283</v>
      </c>
      <c r="B8" s="66" t="s">
        <v>294</v>
      </c>
      <c r="C8" s="346"/>
      <c r="D8" s="347"/>
      <c r="E8" s="347"/>
      <c r="F8" s="347"/>
      <c r="G8" s="347"/>
      <c r="H8" s="347"/>
      <c r="I8" s="347"/>
      <c r="J8" s="347"/>
    </row>
    <row r="9" spans="1:12" ht="14.45" x14ac:dyDescent="0.3">
      <c r="A9" s="66" t="s">
        <v>284</v>
      </c>
      <c r="B9" s="66" t="s">
        <v>295</v>
      </c>
      <c r="C9" s="346"/>
      <c r="D9" s="348"/>
      <c r="E9" s="347"/>
      <c r="F9" s="347"/>
      <c r="G9" s="347"/>
      <c r="H9" s="347"/>
      <c r="I9" s="347"/>
      <c r="J9" s="347"/>
    </row>
    <row r="10" spans="1:12" ht="14.45" x14ac:dyDescent="0.3">
      <c r="A10" s="66" t="s">
        <v>285</v>
      </c>
      <c r="B10" s="66" t="s">
        <v>295</v>
      </c>
      <c r="C10" s="346"/>
      <c r="D10" s="348"/>
      <c r="E10" s="347"/>
      <c r="F10" s="347"/>
      <c r="G10" s="347"/>
      <c r="H10" s="347"/>
      <c r="I10" s="347"/>
      <c r="J10" s="347"/>
    </row>
    <row r="11" spans="1:12" ht="14.45" x14ac:dyDescent="0.3">
      <c r="A11" s="66" t="s">
        <v>286</v>
      </c>
      <c r="C11" s="346"/>
      <c r="D11" s="348"/>
      <c r="E11" s="347"/>
      <c r="F11" s="347"/>
      <c r="G11" s="347"/>
      <c r="H11" s="347"/>
      <c r="I11" s="347"/>
      <c r="J11" s="347"/>
    </row>
    <row r="12" spans="1:12" ht="14.45" x14ac:dyDescent="0.3">
      <c r="A12" s="66" t="s">
        <v>287</v>
      </c>
      <c r="B12" s="66" t="s">
        <v>293</v>
      </c>
      <c r="C12" s="346"/>
      <c r="D12" s="348"/>
      <c r="E12" s="347"/>
      <c r="F12" s="347"/>
      <c r="G12" s="347"/>
      <c r="H12" s="347"/>
      <c r="I12" s="347"/>
      <c r="J12" s="347"/>
    </row>
    <row r="13" spans="1:12" ht="14.45" x14ac:dyDescent="0.3">
      <c r="A13" s="66" t="s">
        <v>288</v>
      </c>
      <c r="B13" s="66">
        <v>87</v>
      </c>
      <c r="C13" s="346"/>
      <c r="D13" s="348"/>
      <c r="E13" s="347"/>
      <c r="F13" s="347"/>
      <c r="G13" s="347"/>
      <c r="H13" s="347"/>
      <c r="I13" s="347"/>
      <c r="J13" s="347"/>
    </row>
    <row r="14" spans="1:12" ht="14.45" x14ac:dyDescent="0.3">
      <c r="A14" s="66" t="s">
        <v>289</v>
      </c>
      <c r="C14" s="346"/>
      <c r="D14" s="348"/>
      <c r="E14" s="347"/>
      <c r="F14" s="347"/>
      <c r="G14" s="347"/>
      <c r="H14" s="347"/>
      <c r="I14" s="347"/>
      <c r="J14" s="347"/>
      <c r="L14" s="60" t="s">
        <v>25</v>
      </c>
    </row>
    <row r="15" spans="1:12" s="1" customFormat="1" ht="14.45" x14ac:dyDescent="0.3">
      <c r="A15" s="66" t="s">
        <v>290</v>
      </c>
      <c r="B15" s="66" t="s">
        <v>296</v>
      </c>
      <c r="C15" s="346"/>
      <c r="D15" s="348"/>
      <c r="E15" s="347"/>
      <c r="F15" s="347"/>
      <c r="G15" s="347"/>
      <c r="H15" s="347"/>
      <c r="I15" s="347"/>
      <c r="J15" s="347"/>
      <c r="L15" s="68"/>
    </row>
    <row r="16" spans="1:12" s="1" customFormat="1" ht="14.45" x14ac:dyDescent="0.3">
      <c r="A16" s="414" t="s">
        <v>291</v>
      </c>
      <c r="B16" s="21"/>
      <c r="C16" s="346"/>
      <c r="D16" s="348"/>
      <c r="E16" s="347"/>
      <c r="F16" s="347"/>
      <c r="G16" s="347"/>
      <c r="H16" s="347"/>
      <c r="I16" s="347"/>
      <c r="J16" s="347"/>
      <c r="L16" s="68"/>
    </row>
    <row r="17" spans="1:12" s="1" customFormat="1" ht="14.45" x14ac:dyDescent="0.3">
      <c r="A17" s="414" t="s">
        <v>292</v>
      </c>
      <c r="B17" s="414"/>
      <c r="C17" s="346"/>
      <c r="D17" s="348"/>
      <c r="E17" s="347"/>
      <c r="F17" s="347"/>
      <c r="G17" s="347"/>
      <c r="H17" s="347"/>
      <c r="I17" s="347"/>
      <c r="J17" s="347"/>
      <c r="L17" s="66"/>
    </row>
    <row r="18" spans="1:12" ht="14.45" x14ac:dyDescent="0.3">
      <c r="A18" s="66" t="s">
        <v>301</v>
      </c>
      <c r="B18" s="66"/>
      <c r="C18" s="346"/>
      <c r="D18" s="348"/>
      <c r="E18" s="347"/>
      <c r="F18" s="347"/>
      <c r="G18" s="347"/>
      <c r="H18" s="347"/>
      <c r="I18" s="347"/>
      <c r="J18" s="347"/>
    </row>
    <row r="19" spans="1:12" thickBot="1" x14ac:dyDescent="0.35">
      <c r="A19" s="66"/>
      <c r="B19" s="66"/>
      <c r="C19" s="66"/>
      <c r="D19" s="66"/>
      <c r="E19" s="350">
        <f t="shared" ref="E19:J19" si="0">SUM(E6:E18)</f>
        <v>0</v>
      </c>
      <c r="F19" s="350">
        <f t="shared" si="0"/>
        <v>0</v>
      </c>
      <c r="G19" s="350">
        <f t="shared" si="0"/>
        <v>0</v>
      </c>
      <c r="H19" s="350">
        <f t="shared" si="0"/>
        <v>0</v>
      </c>
      <c r="I19" s="350">
        <f t="shared" si="0"/>
        <v>0</v>
      </c>
      <c r="J19" s="350">
        <f t="shared" si="0"/>
        <v>0</v>
      </c>
    </row>
    <row r="20" spans="1:12" thickTop="1" x14ac:dyDescent="0.3">
      <c r="A20" s="1"/>
      <c r="B20" s="1"/>
      <c r="C20" s="1"/>
      <c r="D20" s="1"/>
      <c r="E20" s="127"/>
      <c r="F20" s="127"/>
      <c r="G20" s="127"/>
      <c r="H20" s="127"/>
      <c r="I20" s="127"/>
      <c r="J20" s="127"/>
    </row>
    <row r="21" spans="1:12" ht="14.45" x14ac:dyDescent="0.3">
      <c r="A21" s="1"/>
      <c r="B21" s="1"/>
      <c r="C21" s="1"/>
      <c r="D21" s="1"/>
      <c r="E21" s="1"/>
      <c r="F21" s="1"/>
      <c r="G21" s="1"/>
      <c r="H21" s="1"/>
      <c r="I21" s="1"/>
      <c r="J21" s="1"/>
    </row>
    <row r="22" spans="1:12" ht="14.45" x14ac:dyDescent="0.3">
      <c r="A22" s="76" t="s">
        <v>26</v>
      </c>
      <c r="B22" s="61" t="s">
        <v>27</v>
      </c>
      <c r="C22" s="61" t="s">
        <v>29</v>
      </c>
      <c r="D22" s="61" t="s">
        <v>28</v>
      </c>
      <c r="E22" s="62" t="s">
        <v>3</v>
      </c>
      <c r="F22" s="62" t="s">
        <v>4</v>
      </c>
      <c r="G22" s="62" t="s">
        <v>5</v>
      </c>
      <c r="H22" s="62" t="s">
        <v>6</v>
      </c>
      <c r="I22" s="62" t="s">
        <v>7</v>
      </c>
      <c r="J22" s="62" t="s">
        <v>8</v>
      </c>
    </row>
    <row r="23" spans="1:12" ht="14.45" x14ac:dyDescent="0.3">
      <c r="A23" s="1"/>
      <c r="B23" s="1"/>
      <c r="C23" s="1"/>
      <c r="D23" s="1"/>
      <c r="E23" s="77"/>
      <c r="F23" s="77"/>
      <c r="G23" s="77"/>
      <c r="H23" s="77"/>
      <c r="I23" s="77"/>
      <c r="J23" s="77"/>
    </row>
    <row r="24" spans="1:12" ht="14.45" x14ac:dyDescent="0.3">
      <c r="A24" s="21" t="s">
        <v>297</v>
      </c>
      <c r="B24" s="21" t="s">
        <v>294</v>
      </c>
      <c r="C24" s="349"/>
      <c r="D24" s="352"/>
      <c r="E24" s="351"/>
      <c r="F24" s="351"/>
      <c r="G24" s="351"/>
      <c r="H24" s="351"/>
      <c r="I24" s="351"/>
      <c r="J24" s="351"/>
      <c r="K24" s="71"/>
    </row>
    <row r="25" spans="1:12" ht="14.45" x14ac:dyDescent="0.3">
      <c r="A25" s="21" t="s">
        <v>298</v>
      </c>
      <c r="B25" s="21" t="s">
        <v>294</v>
      </c>
      <c r="C25" s="349"/>
      <c r="D25" s="352"/>
      <c r="E25" s="351"/>
      <c r="F25" s="351"/>
      <c r="G25" s="351"/>
      <c r="H25" s="351"/>
      <c r="I25" s="351"/>
      <c r="J25" s="351"/>
      <c r="K25" s="71"/>
    </row>
    <row r="26" spans="1:12" ht="14.45" x14ac:dyDescent="0.3">
      <c r="A26" s="21" t="s">
        <v>299</v>
      </c>
      <c r="B26" s="21" t="s">
        <v>294</v>
      </c>
      <c r="C26" s="349"/>
      <c r="D26" s="349"/>
      <c r="E26" s="351"/>
      <c r="F26" s="351"/>
      <c r="G26" s="351"/>
      <c r="H26" s="351"/>
      <c r="I26" s="351"/>
      <c r="J26" s="351"/>
      <c r="K26" s="71"/>
    </row>
    <row r="27" spans="1:12" ht="14.45" x14ac:dyDescent="0.3">
      <c r="A27" s="1" t="s">
        <v>300</v>
      </c>
      <c r="B27" s="66" t="s">
        <v>293</v>
      </c>
      <c r="C27" s="349"/>
      <c r="D27" s="349"/>
      <c r="E27" s="351"/>
      <c r="F27" s="351"/>
      <c r="G27" s="351"/>
      <c r="H27" s="351"/>
      <c r="I27" s="351"/>
      <c r="J27" s="351"/>
      <c r="K27" s="69"/>
    </row>
    <row r="28" spans="1:12" ht="14.45" x14ac:dyDescent="0.3">
      <c r="A28" s="1" t="s">
        <v>302</v>
      </c>
      <c r="B28" s="1"/>
      <c r="C28" s="349"/>
      <c r="D28" s="351"/>
      <c r="E28" s="351"/>
      <c r="F28" s="351"/>
      <c r="G28" s="351"/>
      <c r="H28" s="351"/>
      <c r="I28" s="351"/>
      <c r="J28" s="351"/>
      <c r="K28" s="69"/>
    </row>
    <row r="29" spans="1:12" thickBot="1" x14ac:dyDescent="0.35">
      <c r="D29" s="70"/>
      <c r="E29" s="353">
        <f t="shared" ref="E29:J29" si="1">SUM(E24:E28)</f>
        <v>0</v>
      </c>
      <c r="F29" s="353">
        <f t="shared" si="1"/>
        <v>0</v>
      </c>
      <c r="G29" s="353">
        <f t="shared" si="1"/>
        <v>0</v>
      </c>
      <c r="H29" s="353">
        <f t="shared" si="1"/>
        <v>0</v>
      </c>
      <c r="I29" s="353">
        <f t="shared" si="1"/>
        <v>0</v>
      </c>
      <c r="J29" s="353">
        <f t="shared" si="1"/>
        <v>0</v>
      </c>
    </row>
    <row r="30" spans="1:12" thickTop="1" x14ac:dyDescent="0.3">
      <c r="E30" s="72"/>
      <c r="F30" s="72"/>
      <c r="G30" s="72"/>
      <c r="H30" s="72"/>
      <c r="I30" s="72"/>
      <c r="J30" s="72"/>
    </row>
    <row r="31" spans="1:12" s="3" customFormat="1" thickBot="1" x14ac:dyDescent="0.35">
      <c r="A31" s="3" t="s">
        <v>275</v>
      </c>
      <c r="E31" s="366"/>
      <c r="F31" s="366"/>
      <c r="G31" s="366"/>
      <c r="H31" s="366"/>
      <c r="I31" s="366"/>
      <c r="J31" s="366"/>
      <c r="L31" s="354"/>
    </row>
    <row r="32" spans="1:12" thickTop="1" x14ac:dyDescent="0.3"/>
    <row r="34" spans="1:12" ht="14.45" x14ac:dyDescent="0.3">
      <c r="A34" s="309" t="s">
        <v>223</v>
      </c>
      <c r="E34" s="62" t="s">
        <v>3</v>
      </c>
      <c r="F34" s="62" t="s">
        <v>4</v>
      </c>
      <c r="G34" s="62" t="s">
        <v>5</v>
      </c>
      <c r="H34" s="62" t="s">
        <v>6</v>
      </c>
      <c r="I34" s="62" t="s">
        <v>7</v>
      </c>
      <c r="J34" s="62" t="s">
        <v>8</v>
      </c>
    </row>
    <row r="35" spans="1:12" ht="14.45" x14ac:dyDescent="0.3">
      <c r="E35" s="74"/>
      <c r="F35" s="74"/>
      <c r="G35" s="74"/>
      <c r="H35" s="74"/>
      <c r="I35" s="74"/>
      <c r="J35" s="74"/>
    </row>
    <row r="36" spans="1:12" s="1" customFormat="1" ht="14.45" x14ac:dyDescent="0.3">
      <c r="A36" s="344"/>
      <c r="E36" s="345"/>
      <c r="F36" s="345"/>
      <c r="G36" s="345"/>
      <c r="H36" s="345"/>
      <c r="I36" s="345"/>
      <c r="J36" s="345"/>
      <c r="L36" s="68"/>
    </row>
    <row r="37" spans="1:12" ht="14.45" x14ac:dyDescent="0.3">
      <c r="A37" s="73" t="s">
        <v>273</v>
      </c>
      <c r="E37" s="74">
        <v>3351846.9999999991</v>
      </c>
      <c r="F37" s="74">
        <v>3351846.9999999991</v>
      </c>
      <c r="G37" s="74">
        <v>3451846.9999999991</v>
      </c>
      <c r="H37" s="74">
        <v>3451846.9999999991</v>
      </c>
      <c r="I37" s="74">
        <v>3451846.9999999991</v>
      </c>
      <c r="J37" s="74">
        <v>3451846.9999999991</v>
      </c>
    </row>
    <row r="38" spans="1:12" ht="14.45" x14ac:dyDescent="0.3">
      <c r="A38" s="14" t="s">
        <v>274</v>
      </c>
      <c r="E38" s="359"/>
      <c r="F38" s="359"/>
      <c r="G38" s="359"/>
      <c r="H38" s="359"/>
      <c r="I38" s="359"/>
      <c r="J38" s="359"/>
    </row>
    <row r="39" spans="1:12" ht="14.45" x14ac:dyDescent="0.3">
      <c r="E39" s="74"/>
      <c r="F39" s="74"/>
      <c r="G39" s="74"/>
      <c r="H39" s="74"/>
      <c r="I39" s="74"/>
      <c r="J39" s="74"/>
    </row>
    <row r="41" spans="1:12" ht="14.45" x14ac:dyDescent="0.3">
      <c r="A41" s="344"/>
      <c r="B41" s="1"/>
      <c r="C41" s="1"/>
      <c r="D41" s="1"/>
      <c r="E41" s="127"/>
      <c r="F41" s="127"/>
      <c r="G41" s="127"/>
      <c r="H41" s="127"/>
      <c r="I41" s="127"/>
      <c r="J41" s="127"/>
      <c r="K41" s="1"/>
      <c r="L41" s="68"/>
    </row>
    <row r="42" spans="1:12" ht="14.45" x14ac:dyDescent="0.3">
      <c r="A42" s="344"/>
      <c r="B42" s="1"/>
      <c r="C42" s="1"/>
      <c r="D42" s="1"/>
      <c r="E42" s="127"/>
      <c r="F42" s="127"/>
      <c r="G42" s="127"/>
      <c r="H42" s="127"/>
      <c r="I42" s="127"/>
      <c r="J42" s="127"/>
      <c r="K42" s="1"/>
      <c r="L42" s="68"/>
    </row>
    <row r="43" spans="1:12" ht="14.45" x14ac:dyDescent="0.3">
      <c r="A43" s="1"/>
      <c r="B43" s="1"/>
      <c r="C43" s="1"/>
      <c r="D43" s="1"/>
      <c r="E43" s="1"/>
      <c r="F43" s="1"/>
      <c r="G43" s="1"/>
      <c r="H43" s="1"/>
      <c r="I43" s="1"/>
      <c r="J43" s="1"/>
      <c r="K43" s="1"/>
      <c r="L43" s="68"/>
    </row>
  </sheetData>
  <pageMargins left="0.31496062992125984" right="0.31496062992125984" top="0.35433070866141736" bottom="0.35433070866141736" header="0.31496062992125984" footer="0.31496062992125984"/>
  <pageSetup paperSize="9" scale="4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workbookViewId="0">
      <selection activeCell="E2" sqref="E2:E10"/>
    </sheetView>
  </sheetViews>
  <sheetFormatPr defaultRowHeight="15" x14ac:dyDescent="0.25"/>
  <cols>
    <col min="1" max="1" width="44.7109375" customWidth="1"/>
    <col min="2" max="2" width="14.28515625" bestFit="1" customWidth="1"/>
    <col min="3" max="3" width="14.28515625" customWidth="1"/>
    <col min="4" max="4" width="14.28515625" bestFit="1" customWidth="1"/>
    <col min="5" max="5" width="14.28515625" customWidth="1"/>
    <col min="6" max="6" width="14.28515625" bestFit="1" customWidth="1"/>
    <col min="7" max="7" width="14.28515625" customWidth="1"/>
    <col min="8" max="8" width="14.28515625" bestFit="1" customWidth="1"/>
    <col min="9" max="9" width="14.28515625" customWidth="1"/>
    <col min="10" max="10" width="14.28515625" bestFit="1" customWidth="1"/>
    <col min="11" max="11" width="14.28515625" customWidth="1"/>
    <col min="12" max="12" width="14.28515625" bestFit="1" customWidth="1"/>
    <col min="13" max="13" width="13.7109375" customWidth="1"/>
  </cols>
  <sheetData>
    <row r="1" spans="1:13" ht="14.45" x14ac:dyDescent="0.3">
      <c r="A1" s="3" t="s">
        <v>202</v>
      </c>
      <c r="B1" s="298" t="s">
        <v>203</v>
      </c>
      <c r="C1" s="322" t="s">
        <v>204</v>
      </c>
      <c r="D1" s="298" t="s">
        <v>205</v>
      </c>
      <c r="E1" s="322" t="s">
        <v>204</v>
      </c>
      <c r="F1" s="298" t="s">
        <v>206</v>
      </c>
      <c r="G1" s="322" t="s">
        <v>204</v>
      </c>
      <c r="H1" s="298" t="s">
        <v>207</v>
      </c>
      <c r="I1" s="322" t="s">
        <v>204</v>
      </c>
      <c r="J1" s="298" t="s">
        <v>208</v>
      </c>
      <c r="K1" s="322" t="s">
        <v>204</v>
      </c>
      <c r="L1" s="298" t="s">
        <v>209</v>
      </c>
      <c r="M1" s="322" t="s">
        <v>204</v>
      </c>
    </row>
    <row r="2" spans="1:13" ht="14.45" x14ac:dyDescent="0.3">
      <c r="A2" t="s">
        <v>210</v>
      </c>
      <c r="B2" s="299">
        <v>2137823.1059999997</v>
      </c>
      <c r="C2" s="410"/>
      <c r="D2" s="93">
        <v>2025196.6678187749</v>
      </c>
      <c r="E2" s="411"/>
      <c r="F2" s="93">
        <v>1650325.1155138535</v>
      </c>
      <c r="G2" s="411"/>
      <c r="H2" s="93">
        <v>1578325.1155138535</v>
      </c>
      <c r="I2" s="411"/>
      <c r="J2" s="93">
        <v>1584325.1155138535</v>
      </c>
      <c r="K2" s="411"/>
      <c r="L2" s="299">
        <v>1584325.1155138535</v>
      </c>
      <c r="M2" s="349"/>
    </row>
    <row r="3" spans="1:13" ht="14.45" x14ac:dyDescent="0.3">
      <c r="A3" t="s">
        <v>211</v>
      </c>
      <c r="B3" s="299">
        <v>433428.58382381761</v>
      </c>
      <c r="C3" s="410"/>
      <c r="D3" s="93">
        <v>433428.58382381761</v>
      </c>
      <c r="E3" s="411"/>
      <c r="F3" s="93">
        <v>433428.58382381761</v>
      </c>
      <c r="G3" s="411"/>
      <c r="H3" s="93">
        <v>448429.18382381764</v>
      </c>
      <c r="I3" s="411"/>
      <c r="J3" s="93">
        <v>513427.78382381762</v>
      </c>
      <c r="K3" s="411"/>
      <c r="L3" s="299">
        <v>513427.78382381762</v>
      </c>
      <c r="M3" s="349"/>
    </row>
    <row r="4" spans="1:13" ht="14.45" x14ac:dyDescent="0.3">
      <c r="A4" t="s">
        <v>212</v>
      </c>
      <c r="B4" s="299">
        <v>1124303.3325481103</v>
      </c>
      <c r="C4" s="410"/>
      <c r="D4" s="93">
        <v>1124303.3325481103</v>
      </c>
      <c r="E4" s="411"/>
      <c r="F4" s="93">
        <v>715517.79886439233</v>
      </c>
      <c r="G4" s="411"/>
      <c r="H4" s="93">
        <v>619510.48768063262</v>
      </c>
      <c r="I4" s="411"/>
      <c r="J4" s="93">
        <v>619510.48768063262</v>
      </c>
      <c r="K4" s="411"/>
      <c r="L4" s="299">
        <v>619510.48768063262</v>
      </c>
      <c r="M4" s="349"/>
    </row>
    <row r="5" spans="1:13" ht="14.45" x14ac:dyDescent="0.3">
      <c r="A5" t="s">
        <v>213</v>
      </c>
      <c r="B5" s="299">
        <v>210807.69230769231</v>
      </c>
      <c r="C5" s="410"/>
      <c r="D5" s="93">
        <v>783000</v>
      </c>
      <c r="E5" s="411"/>
      <c r="F5" s="93">
        <v>54000</v>
      </c>
      <c r="G5" s="411"/>
      <c r="H5" s="299">
        <v>0</v>
      </c>
      <c r="I5" s="410"/>
      <c r="J5" s="299">
        <v>0</v>
      </c>
      <c r="K5" s="410"/>
      <c r="L5" s="299">
        <v>0</v>
      </c>
      <c r="M5" s="349"/>
    </row>
    <row r="6" spans="1:13" ht="14.45" x14ac:dyDescent="0.3">
      <c r="A6" t="s">
        <v>214</v>
      </c>
      <c r="B6" s="299">
        <v>0</v>
      </c>
      <c r="C6" s="410"/>
      <c r="D6" s="93">
        <v>285342.6205093686</v>
      </c>
      <c r="E6" s="411"/>
      <c r="F6" s="93">
        <v>432014.85197176319</v>
      </c>
      <c r="G6" s="411"/>
      <c r="H6" s="93">
        <v>432014.85197176319</v>
      </c>
      <c r="I6" s="411"/>
      <c r="J6" s="93">
        <v>432014.85197176319</v>
      </c>
      <c r="K6" s="411"/>
      <c r="L6" s="299">
        <v>432014.85197176319</v>
      </c>
      <c r="M6" s="349"/>
    </row>
    <row r="7" spans="1:13" ht="14.45" x14ac:dyDescent="0.3">
      <c r="A7" t="s">
        <v>215</v>
      </c>
      <c r="B7" s="299">
        <v>196747.09505106119</v>
      </c>
      <c r="C7" s="410"/>
      <c r="D7" s="93">
        <v>196747.09505106119</v>
      </c>
      <c r="E7" s="411"/>
      <c r="F7" s="93">
        <v>211998.07078022641</v>
      </c>
      <c r="G7" s="411"/>
      <c r="H7" s="93">
        <v>354997.02386539616</v>
      </c>
      <c r="I7" s="411"/>
      <c r="J7" s="93">
        <v>423996.14156045282</v>
      </c>
      <c r="K7" s="411"/>
      <c r="L7" s="93">
        <v>513427.78382381762</v>
      </c>
      <c r="M7" s="349"/>
    </row>
    <row r="8" spans="1:13" ht="14.45" x14ac:dyDescent="0.3">
      <c r="A8" t="s">
        <v>216</v>
      </c>
      <c r="B8" s="299">
        <v>0</v>
      </c>
      <c r="C8" s="410"/>
      <c r="D8" s="93">
        <v>58500</v>
      </c>
      <c r="E8" s="411"/>
      <c r="F8" s="93">
        <v>78000</v>
      </c>
      <c r="G8" s="411"/>
      <c r="H8" s="93">
        <v>136500</v>
      </c>
      <c r="I8" s="411"/>
      <c r="J8" s="93">
        <v>156000</v>
      </c>
      <c r="K8" s="411"/>
      <c r="L8" s="93">
        <v>156000</v>
      </c>
      <c r="M8" s="349"/>
    </row>
    <row r="9" spans="1:13" ht="14.45" x14ac:dyDescent="0.3">
      <c r="A9" t="s">
        <v>217</v>
      </c>
      <c r="B9" s="299">
        <v>264927.93777789245</v>
      </c>
      <c r="C9" s="410"/>
      <c r="D9" s="93">
        <v>264927.93777789245</v>
      </c>
      <c r="E9" s="411"/>
      <c r="F9" s="93">
        <v>241292.90666683862</v>
      </c>
      <c r="G9" s="411"/>
      <c r="H9" s="93">
        <v>221293.70666683864</v>
      </c>
      <c r="I9" s="411"/>
      <c r="J9" s="93">
        <v>233927.53777789243</v>
      </c>
      <c r="K9" s="411"/>
      <c r="L9" s="93">
        <v>233927.53777789243</v>
      </c>
      <c r="M9" s="349"/>
    </row>
    <row r="10" spans="1:13" thickBot="1" x14ac:dyDescent="0.35">
      <c r="A10" t="s">
        <v>218</v>
      </c>
      <c r="B10" s="299">
        <v>180000</v>
      </c>
      <c r="C10" s="410"/>
      <c r="D10" s="93">
        <v>135000</v>
      </c>
      <c r="E10" s="411"/>
      <c r="F10" s="93">
        <v>110700</v>
      </c>
      <c r="G10" s="411"/>
      <c r="H10" s="93">
        <v>205200</v>
      </c>
      <c r="I10" s="411"/>
      <c r="J10" s="93">
        <v>239400</v>
      </c>
      <c r="K10" s="411"/>
      <c r="L10" s="93">
        <v>239400</v>
      </c>
      <c r="M10" s="349"/>
    </row>
    <row r="11" spans="1:13" thickBot="1" x14ac:dyDescent="0.35">
      <c r="A11" s="300" t="s">
        <v>93</v>
      </c>
      <c r="B11" s="301">
        <f>SUM(B2:B10)</f>
        <v>4548037.7475085743</v>
      </c>
      <c r="C11" s="407">
        <v>61.5</v>
      </c>
      <c r="D11" s="301">
        <f>SUM(D2:D10)</f>
        <v>5306446.2375290254</v>
      </c>
      <c r="E11" s="407">
        <v>69.5</v>
      </c>
      <c r="F11" s="301">
        <f t="shared" ref="F11:L11" si="0">SUM(F2:F10)</f>
        <v>3927277.3276208914</v>
      </c>
      <c r="G11" s="407">
        <v>49</v>
      </c>
      <c r="H11" s="301">
        <f t="shared" si="0"/>
        <v>3996270.3695223019</v>
      </c>
      <c r="I11" s="407">
        <v>47.5</v>
      </c>
      <c r="J11" s="301">
        <f t="shared" si="0"/>
        <v>4202601.9183284119</v>
      </c>
      <c r="K11" s="407">
        <v>49</v>
      </c>
      <c r="L11" s="301">
        <f t="shared" si="0"/>
        <v>4292033.5605917769</v>
      </c>
      <c r="M11" s="407">
        <v>49</v>
      </c>
    </row>
    <row r="12" spans="1:13" thickBot="1" x14ac:dyDescent="0.35">
      <c r="A12" t="s">
        <v>219</v>
      </c>
      <c r="B12" s="299">
        <f>B2+B3+B4+B6+B7+B8+B9+B10</f>
        <v>4337230.0552008813</v>
      </c>
      <c r="C12" s="408">
        <v>54.5</v>
      </c>
      <c r="D12" s="299">
        <f>D2+D3+D4+D6+D7+D8+D9+D10</f>
        <v>4523446.2375290254</v>
      </c>
      <c r="E12" s="408">
        <v>56.5</v>
      </c>
      <c r="F12" s="299">
        <f t="shared" ref="F12:L12" si="1">F2+F3+F4+F6+F7+F8+F9+F10</f>
        <v>3873277.3276208914</v>
      </c>
      <c r="G12" s="408">
        <v>48</v>
      </c>
      <c r="H12" s="299">
        <f t="shared" si="1"/>
        <v>3996270.3695223019</v>
      </c>
      <c r="I12" s="408">
        <v>47.5</v>
      </c>
      <c r="J12" s="299">
        <f t="shared" si="1"/>
        <v>4202601.9183284119</v>
      </c>
      <c r="K12" s="408">
        <v>49</v>
      </c>
      <c r="L12" s="299">
        <f t="shared" si="1"/>
        <v>4292033.5605917769</v>
      </c>
      <c r="M12" s="408">
        <v>49</v>
      </c>
    </row>
    <row r="13" spans="1:13" thickBot="1" x14ac:dyDescent="0.35">
      <c r="A13" s="302" t="s">
        <v>220</v>
      </c>
      <c r="B13" s="303">
        <f>B2+B3+B4+B7+B8+B9+B10</f>
        <v>4337230.0552008813</v>
      </c>
      <c r="C13" s="409">
        <v>54.5</v>
      </c>
      <c r="D13" s="303">
        <f>D2+D3+D4+D7+D8+D9+D10</f>
        <v>4238103.617019657</v>
      </c>
      <c r="E13" s="409">
        <v>52.5</v>
      </c>
      <c r="F13" s="303">
        <f t="shared" ref="F13:L13" si="2">F2+F3+F4+F7+F8+F9+F10</f>
        <v>3441262.4756491282</v>
      </c>
      <c r="G13" s="409">
        <v>41</v>
      </c>
      <c r="H13" s="303">
        <f t="shared" si="2"/>
        <v>3564255.5175505388</v>
      </c>
      <c r="I13" s="409">
        <v>40.5</v>
      </c>
      <c r="J13" s="303">
        <f t="shared" si="2"/>
        <v>3770587.0663566492</v>
      </c>
      <c r="K13" s="409">
        <v>42</v>
      </c>
      <c r="L13" s="303">
        <f t="shared" si="2"/>
        <v>3860018.7086200137</v>
      </c>
      <c r="M13" s="409">
        <v>42</v>
      </c>
    </row>
    <row r="14" spans="1:13" ht="14.45" x14ac:dyDescent="0.3">
      <c r="B14" s="93"/>
      <c r="C14" s="93"/>
    </row>
    <row r="18" spans="1:5" ht="14.45" x14ac:dyDescent="0.3">
      <c r="A18" s="60" t="s">
        <v>224</v>
      </c>
    </row>
    <row r="19" spans="1:5" ht="57.6" x14ac:dyDescent="0.3">
      <c r="A19" s="60" t="s">
        <v>221</v>
      </c>
      <c r="D19" s="93"/>
      <c r="E19" s="93"/>
    </row>
    <row r="20" spans="1:5" ht="14.45" x14ac:dyDescent="0.3">
      <c r="A20" s="60" t="s">
        <v>222</v>
      </c>
    </row>
    <row r="21" spans="1:5" ht="28.9" x14ac:dyDescent="0.3">
      <c r="A21" s="60" t="s">
        <v>225</v>
      </c>
    </row>
    <row r="22" spans="1:5" ht="57.6" x14ac:dyDescent="0.3">
      <c r="A22" s="60" t="s">
        <v>226</v>
      </c>
    </row>
    <row r="23" spans="1:5" x14ac:dyDescent="0.25">
      <c r="A23" s="60"/>
    </row>
    <row r="24" spans="1:5" x14ac:dyDescent="0.25">
      <c r="A24" s="60"/>
    </row>
  </sheetData>
  <pageMargins left="0.25" right="0.25" top="0.75" bottom="0.75" header="0.3" footer="0.3"/>
  <pageSetup paperSize="9"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6"/>
  <sheetViews>
    <sheetView workbookViewId="0">
      <selection activeCell="H27" sqref="H27"/>
    </sheetView>
  </sheetViews>
  <sheetFormatPr defaultRowHeight="15" x14ac:dyDescent="0.25"/>
  <cols>
    <col min="1" max="1" width="13.28515625" bestFit="1" customWidth="1"/>
    <col min="2" max="2" width="21" bestFit="1" customWidth="1"/>
    <col min="3" max="3" width="15.28515625" bestFit="1" customWidth="1"/>
    <col min="4" max="5" width="11.85546875" bestFit="1" customWidth="1"/>
    <col min="6" max="6" width="12.28515625" bestFit="1" customWidth="1"/>
    <col min="7" max="7" width="11.85546875" bestFit="1" customWidth="1"/>
    <col min="8" max="12" width="15.28515625" bestFit="1" customWidth="1"/>
    <col min="13" max="13" width="14.28515625" bestFit="1" customWidth="1"/>
  </cols>
  <sheetData>
    <row r="2" spans="1:19" thickBot="1" x14ac:dyDescent="0.35">
      <c r="B2" s="80"/>
    </row>
    <row r="3" spans="1:19" thickBot="1" x14ac:dyDescent="0.35">
      <c r="B3" s="3"/>
      <c r="C3" s="131">
        <v>2015</v>
      </c>
      <c r="D3" s="131">
        <v>2016</v>
      </c>
      <c r="E3" s="468">
        <v>2017</v>
      </c>
      <c r="F3" s="469"/>
      <c r="G3" s="132">
        <v>2018</v>
      </c>
      <c r="H3" s="132">
        <v>2019</v>
      </c>
      <c r="I3" s="132">
        <v>2020</v>
      </c>
      <c r="J3" s="81"/>
      <c r="K3" s="81"/>
      <c r="L3" s="133"/>
      <c r="M3" s="134"/>
      <c r="N3" s="134"/>
      <c r="O3" s="470"/>
      <c r="P3" s="470"/>
      <c r="Q3" s="134"/>
      <c r="R3" s="134"/>
      <c r="S3" s="134"/>
    </row>
    <row r="4" spans="1:19" thickBot="1" x14ac:dyDescent="0.35">
      <c r="B4" s="135" t="s">
        <v>31</v>
      </c>
      <c r="C4" s="136" t="s">
        <v>32</v>
      </c>
      <c r="D4" s="136" t="s">
        <v>32</v>
      </c>
      <c r="E4" s="137" t="s">
        <v>33</v>
      </c>
      <c r="F4" s="138" t="s">
        <v>34</v>
      </c>
      <c r="G4" s="136" t="s">
        <v>32</v>
      </c>
      <c r="H4" s="136" t="s">
        <v>32</v>
      </c>
      <c r="I4" s="136" t="s">
        <v>32</v>
      </c>
      <c r="J4" s="81"/>
      <c r="K4" s="81"/>
      <c r="L4" s="139"/>
      <c r="M4" s="140"/>
      <c r="N4" s="140"/>
      <c r="O4" s="140"/>
      <c r="P4" s="140"/>
      <c r="Q4" s="140"/>
      <c r="R4" s="140"/>
      <c r="S4" s="140"/>
    </row>
    <row r="5" spans="1:19" ht="14.45" x14ac:dyDescent="0.3">
      <c r="B5" s="141" t="s">
        <v>35</v>
      </c>
      <c r="C5" s="323"/>
      <c r="D5" s="323"/>
      <c r="E5" s="324"/>
      <c r="F5" s="325"/>
      <c r="G5" s="323"/>
      <c r="H5" s="323"/>
      <c r="I5" s="323"/>
      <c r="J5" s="81"/>
      <c r="K5" s="81"/>
      <c r="L5" s="142"/>
      <c r="M5" s="143"/>
      <c r="N5" s="143"/>
      <c r="O5" s="143"/>
      <c r="P5" s="143"/>
      <c r="Q5" s="143"/>
      <c r="R5" s="143"/>
      <c r="S5" s="143"/>
    </row>
    <row r="6" spans="1:19" ht="14.45" x14ac:dyDescent="0.3">
      <c r="B6" s="141" t="s">
        <v>77</v>
      </c>
      <c r="C6" s="326"/>
      <c r="D6" s="326"/>
      <c r="E6" s="327"/>
      <c r="F6" s="328"/>
      <c r="G6" s="329"/>
      <c r="H6" s="329"/>
      <c r="I6" s="329"/>
      <c r="J6" s="81"/>
      <c r="K6" s="81"/>
      <c r="L6" s="142"/>
      <c r="M6" s="143"/>
      <c r="N6" s="143"/>
      <c r="O6" s="143"/>
      <c r="P6" s="144"/>
      <c r="Q6" s="144"/>
      <c r="R6" s="144"/>
      <c r="S6" s="144"/>
    </row>
    <row r="7" spans="1:19" ht="14.45" x14ac:dyDescent="0.3">
      <c r="B7" s="141" t="s">
        <v>78</v>
      </c>
      <c r="C7" s="326"/>
      <c r="D7" s="326"/>
      <c r="E7" s="330"/>
      <c r="F7" s="328"/>
      <c r="G7" s="329"/>
      <c r="H7" s="329"/>
      <c r="I7" s="329"/>
      <c r="J7" s="81"/>
      <c r="K7" s="81"/>
      <c r="L7" s="142"/>
      <c r="M7" s="143"/>
      <c r="N7" s="143"/>
      <c r="O7" s="144"/>
      <c r="P7" s="144"/>
      <c r="Q7" s="144"/>
      <c r="R7" s="144"/>
      <c r="S7" s="144"/>
    </row>
    <row r="8" spans="1:19" ht="14.45" x14ac:dyDescent="0.3">
      <c r="B8" s="141" t="s">
        <v>36</v>
      </c>
      <c r="C8" s="326"/>
      <c r="D8" s="326"/>
      <c r="E8" s="330"/>
      <c r="F8" s="330"/>
      <c r="G8" s="330"/>
      <c r="H8" s="330"/>
      <c r="I8" s="330"/>
      <c r="J8" s="81"/>
      <c r="K8" s="81"/>
      <c r="L8" s="142"/>
      <c r="M8" s="143"/>
      <c r="N8" s="143"/>
      <c r="O8" s="144"/>
      <c r="P8" s="144"/>
      <c r="Q8" s="144"/>
      <c r="R8" s="144"/>
      <c r="S8" s="144"/>
    </row>
    <row r="9" spans="1:19" ht="14.45" x14ac:dyDescent="0.3">
      <c r="B9" s="141" t="s">
        <v>37</v>
      </c>
      <c r="C9" s="329"/>
      <c r="D9" s="326"/>
      <c r="E9" s="327"/>
      <c r="F9" s="331"/>
      <c r="G9" s="326"/>
      <c r="H9" s="326"/>
      <c r="I9" s="326"/>
      <c r="J9" s="81"/>
      <c r="K9" s="81"/>
      <c r="L9" s="142"/>
      <c r="M9" s="144"/>
      <c r="N9" s="143"/>
      <c r="O9" s="143"/>
      <c r="P9" s="143"/>
      <c r="Q9" s="143"/>
      <c r="R9" s="143"/>
      <c r="S9" s="143"/>
    </row>
    <row r="10" spans="1:19" ht="14.45" x14ac:dyDescent="0.3">
      <c r="B10" s="145" t="s">
        <v>79</v>
      </c>
      <c r="C10" s="332"/>
      <c r="D10" s="333"/>
      <c r="E10" s="334"/>
      <c r="F10" s="335"/>
      <c r="G10" s="333"/>
      <c r="H10" s="333"/>
      <c r="I10" s="333"/>
      <c r="J10" s="81"/>
      <c r="K10" s="81"/>
      <c r="L10" s="142"/>
      <c r="M10" s="144"/>
      <c r="N10" s="143"/>
      <c r="O10" s="143"/>
      <c r="P10" s="143"/>
      <c r="Q10" s="143"/>
      <c r="R10" s="143"/>
      <c r="S10" s="143"/>
    </row>
    <row r="11" spans="1:19" ht="14.45" x14ac:dyDescent="0.3">
      <c r="B11" s="145" t="s">
        <v>80</v>
      </c>
      <c r="C11" s="332"/>
      <c r="D11" s="332"/>
      <c r="E11" s="336"/>
      <c r="F11" s="335"/>
      <c r="G11" s="333"/>
      <c r="H11" s="333"/>
      <c r="I11" s="333"/>
      <c r="J11" s="81"/>
      <c r="K11" s="81"/>
      <c r="L11" s="142"/>
      <c r="M11" s="144"/>
      <c r="N11" s="144"/>
      <c r="O11" s="144"/>
      <c r="P11" s="143"/>
      <c r="Q11" s="143"/>
      <c r="R11" s="143"/>
      <c r="S11" s="143"/>
    </row>
    <row r="12" spans="1:19" thickBot="1" x14ac:dyDescent="0.35">
      <c r="B12" s="146" t="s">
        <v>1</v>
      </c>
      <c r="C12" s="147">
        <v>102.1</v>
      </c>
      <c r="D12" s="147">
        <v>93.18</v>
      </c>
      <c r="E12" s="147">
        <v>45.783191837862383</v>
      </c>
      <c r="F12" s="147">
        <v>25.893737098652146</v>
      </c>
      <c r="G12" s="147">
        <v>22.538693979042097</v>
      </c>
      <c r="H12" s="147">
        <v>22.561487182523241</v>
      </c>
      <c r="I12" s="147">
        <v>22.584280386004387</v>
      </c>
      <c r="J12" s="81"/>
      <c r="K12" s="81"/>
      <c r="L12" s="139"/>
      <c r="M12" s="148"/>
      <c r="N12" s="148"/>
      <c r="O12" s="148"/>
      <c r="P12" s="148"/>
      <c r="Q12" s="148"/>
      <c r="R12" s="148"/>
      <c r="S12" s="148"/>
    </row>
    <row r="13" spans="1:19" ht="14.45" x14ac:dyDescent="0.3">
      <c r="B13" s="81"/>
      <c r="C13" s="81"/>
      <c r="D13" s="81"/>
      <c r="E13" s="81"/>
      <c r="F13" s="81"/>
      <c r="G13" s="81"/>
      <c r="H13" s="81"/>
      <c r="I13" s="81"/>
      <c r="J13" s="81"/>
      <c r="K13" s="81"/>
      <c r="L13" s="82"/>
    </row>
    <row r="15" spans="1:19" thickBot="1" x14ac:dyDescent="0.35"/>
    <row r="16" spans="1:19" ht="14.45" x14ac:dyDescent="0.3">
      <c r="A16" s="6"/>
      <c r="H16" s="78" t="s">
        <v>3</v>
      </c>
      <c r="I16" s="78" t="s">
        <v>4</v>
      </c>
      <c r="J16" s="78" t="s">
        <v>5</v>
      </c>
      <c r="K16" s="78" t="s">
        <v>6</v>
      </c>
      <c r="L16" s="78" t="s">
        <v>7</v>
      </c>
      <c r="M16" s="78" t="s">
        <v>8</v>
      </c>
    </row>
    <row r="17" spans="1:13" thickBot="1" x14ac:dyDescent="0.35">
      <c r="H17" s="79" t="s">
        <v>12</v>
      </c>
      <c r="I17" s="79" t="s">
        <v>12</v>
      </c>
      <c r="J17" s="79" t="s">
        <v>12</v>
      </c>
      <c r="K17" s="79" t="s">
        <v>12</v>
      </c>
      <c r="L17" s="79" t="s">
        <v>12</v>
      </c>
      <c r="M17" s="79" t="s">
        <v>12</v>
      </c>
    </row>
    <row r="18" spans="1:13" thickBot="1" x14ac:dyDescent="0.35">
      <c r="G18" s="83" t="s">
        <v>42</v>
      </c>
      <c r="H18" s="84"/>
      <c r="I18" s="84"/>
      <c r="J18" s="84"/>
      <c r="K18" s="84"/>
      <c r="L18" s="84"/>
      <c r="M18" s="85"/>
    </row>
    <row r="19" spans="1:13" thickBot="1" x14ac:dyDescent="0.35">
      <c r="G19" s="83" t="s">
        <v>35</v>
      </c>
      <c r="H19" s="88">
        <v>898799.29411764711</v>
      </c>
      <c r="I19" s="88">
        <v>898799.29411764711</v>
      </c>
      <c r="J19" s="88">
        <v>337049.73529411765</v>
      </c>
      <c r="K19" s="88">
        <v>224699.82352941178</v>
      </c>
      <c r="L19" s="88">
        <v>224699.82352941178</v>
      </c>
      <c r="M19" s="88">
        <v>224699.82352941178</v>
      </c>
    </row>
    <row r="20" spans="1:13" thickBot="1" x14ac:dyDescent="0.35">
      <c r="G20" s="83" t="s">
        <v>77</v>
      </c>
      <c r="H20" s="88">
        <v>3149079.7380281687</v>
      </c>
      <c r="I20" s="88">
        <v>2519263.790422535</v>
      </c>
      <c r="J20" s="88">
        <v>529553.76760563371</v>
      </c>
      <c r="K20" s="88">
        <v>353035.84507042251</v>
      </c>
      <c r="L20" s="88">
        <v>353035.84507042251</v>
      </c>
      <c r="M20" s="88">
        <v>353035.84507042251</v>
      </c>
    </row>
    <row r="21" spans="1:13" thickBot="1" x14ac:dyDescent="0.35">
      <c r="G21" s="83" t="s">
        <v>78</v>
      </c>
      <c r="H21" s="88">
        <v>0</v>
      </c>
      <c r="I21" s="88">
        <v>0</v>
      </c>
      <c r="J21" s="88">
        <v>0</v>
      </c>
      <c r="K21" s="88">
        <v>0</v>
      </c>
      <c r="L21" s="88">
        <v>0</v>
      </c>
      <c r="M21" s="88">
        <v>0</v>
      </c>
    </row>
    <row r="22" spans="1:13" thickBot="1" x14ac:dyDescent="0.35">
      <c r="G22" s="83" t="s">
        <v>36</v>
      </c>
      <c r="H22" s="88">
        <v>898799.29411764711</v>
      </c>
      <c r="I22" s="88">
        <v>898799.29411764711</v>
      </c>
      <c r="J22" s="88">
        <v>786930.50505838508</v>
      </c>
      <c r="K22" s="88">
        <v>466166.66248576529</v>
      </c>
      <c r="L22" s="88">
        <v>468727.47688570683</v>
      </c>
      <c r="M22" s="88">
        <v>471288.2912856483</v>
      </c>
    </row>
    <row r="23" spans="1:13" thickBot="1" x14ac:dyDescent="0.35">
      <c r="A23" s="3"/>
      <c r="G23" s="83" t="s">
        <v>37</v>
      </c>
      <c r="H23" s="88">
        <v>698423.30011730222</v>
      </c>
      <c r="I23" s="88">
        <v>630781.84144736954</v>
      </c>
      <c r="J23" s="88">
        <v>254983.34366383386</v>
      </c>
      <c r="K23" s="88">
        <v>84994.447887944625</v>
      </c>
      <c r="L23" s="88">
        <v>84994.447887944625</v>
      </c>
      <c r="M23" s="88">
        <v>84994.447887944625</v>
      </c>
    </row>
    <row r="24" spans="1:13" thickBot="1" x14ac:dyDescent="0.35">
      <c r="A24" s="86"/>
      <c r="B24" s="87"/>
      <c r="G24" s="83" t="s">
        <v>79</v>
      </c>
      <c r="H24" s="88">
        <v>279369.32004692085</v>
      </c>
      <c r="I24" s="88">
        <v>252312.73657894784</v>
      </c>
      <c r="J24" s="88">
        <v>169988.89577588925</v>
      </c>
      <c r="K24" s="88">
        <v>84994.447887944625</v>
      </c>
      <c r="L24" s="88">
        <v>42497.223943972313</v>
      </c>
      <c r="M24" s="88">
        <v>42497.223943972313</v>
      </c>
    </row>
    <row r="25" spans="1:13" thickBot="1" x14ac:dyDescent="0.35">
      <c r="A25" s="86"/>
      <c r="B25" s="87"/>
      <c r="G25" s="83" t="s">
        <v>80</v>
      </c>
      <c r="H25" s="88">
        <v>202829.22600126668</v>
      </c>
      <c r="I25" s="88">
        <v>183185.45881120465</v>
      </c>
      <c r="J25" s="88">
        <v>123416.2582822008</v>
      </c>
      <c r="K25" s="88">
        <v>61708.129141100399</v>
      </c>
      <c r="L25" s="88">
        <v>61708.129141100399</v>
      </c>
      <c r="M25" s="88">
        <v>61708.129141100399</v>
      </c>
    </row>
    <row r="26" spans="1:13" thickBot="1" x14ac:dyDescent="0.35">
      <c r="A26" s="86"/>
      <c r="B26" s="87"/>
      <c r="G26" s="412" t="s">
        <v>44</v>
      </c>
      <c r="H26" s="88">
        <v>0</v>
      </c>
      <c r="I26" s="88">
        <v>0</v>
      </c>
      <c r="J26" s="88">
        <v>0</v>
      </c>
      <c r="K26" s="88">
        <v>0</v>
      </c>
      <c r="L26" s="88">
        <v>0</v>
      </c>
      <c r="M26" s="88">
        <v>0</v>
      </c>
    </row>
    <row r="27" spans="1:13" thickBot="1" x14ac:dyDescent="0.35">
      <c r="A27" s="86"/>
      <c r="B27" s="87"/>
      <c r="G27" s="83" t="s">
        <v>1</v>
      </c>
      <c r="H27" s="89">
        <f>SUM(H19:H26)</f>
        <v>6127300.1724289535</v>
      </c>
      <c r="I27" s="89">
        <f t="shared" ref="I27:M27" si="0">SUM(I19:I26)</f>
        <v>5383142.415495351</v>
      </c>
      <c r="J27" s="89">
        <f t="shared" si="0"/>
        <v>2201922.5056800605</v>
      </c>
      <c r="K27" s="89">
        <f t="shared" si="0"/>
        <v>1275599.3560025892</v>
      </c>
      <c r="L27" s="89">
        <f t="shared" si="0"/>
        <v>1235662.9464585583</v>
      </c>
      <c r="M27" s="89">
        <f t="shared" si="0"/>
        <v>1238223.7608584999</v>
      </c>
    </row>
    <row r="28" spans="1:13" x14ac:dyDescent="0.25">
      <c r="A28" s="86"/>
      <c r="B28" s="87"/>
    </row>
    <row r="29" spans="1:13" x14ac:dyDescent="0.25">
      <c r="A29" s="86"/>
      <c r="B29" s="87"/>
    </row>
    <row r="30" spans="1:13" x14ac:dyDescent="0.25">
      <c r="A30" s="149"/>
      <c r="B30" s="87"/>
    </row>
    <row r="31" spans="1:13" x14ac:dyDescent="0.25">
      <c r="A31" s="149"/>
      <c r="B31" s="87"/>
    </row>
    <row r="32" spans="1:13" x14ac:dyDescent="0.25">
      <c r="A32" s="149"/>
      <c r="B32" s="87"/>
    </row>
    <row r="33" spans="1:3" x14ac:dyDescent="0.25">
      <c r="A33" s="90"/>
      <c r="B33" s="87"/>
    </row>
    <row r="34" spans="1:3" x14ac:dyDescent="0.25">
      <c r="A34" s="90"/>
      <c r="B34" s="87"/>
    </row>
    <row r="35" spans="1:3" x14ac:dyDescent="0.25">
      <c r="A35" s="91"/>
      <c r="B35" s="87"/>
    </row>
    <row r="36" spans="1:3" x14ac:dyDescent="0.25">
      <c r="A36" s="91"/>
      <c r="B36" s="87"/>
    </row>
    <row r="37" spans="1:3" x14ac:dyDescent="0.25">
      <c r="A37" s="92"/>
      <c r="B37" s="87"/>
      <c r="C37" s="93"/>
    </row>
    <row r="38" spans="1:3" x14ac:dyDescent="0.25">
      <c r="A38" s="86"/>
      <c r="B38" s="87"/>
    </row>
    <row r="39" spans="1:3" x14ac:dyDescent="0.25">
      <c r="A39" s="94"/>
    </row>
    <row r="41" spans="1:3" x14ac:dyDescent="0.25">
      <c r="A41" s="3"/>
    </row>
    <row r="42" spans="1:3" x14ac:dyDescent="0.25">
      <c r="A42" s="95"/>
      <c r="B42" s="87"/>
      <c r="C42" s="93"/>
    </row>
    <row r="43" spans="1:3" x14ac:dyDescent="0.25">
      <c r="A43" s="95"/>
      <c r="B43" s="87"/>
      <c r="C43" s="93"/>
    </row>
    <row r="44" spans="1:3" x14ac:dyDescent="0.25">
      <c r="A44" s="95"/>
      <c r="B44" s="87"/>
      <c r="C44" s="93"/>
    </row>
    <row r="45" spans="1:3" x14ac:dyDescent="0.25">
      <c r="A45" s="95"/>
      <c r="B45" s="87"/>
      <c r="C45" s="93"/>
    </row>
    <row r="46" spans="1:3" x14ac:dyDescent="0.25">
      <c r="A46" s="95"/>
      <c r="B46" s="87"/>
      <c r="C46" s="93"/>
    </row>
  </sheetData>
  <mergeCells count="2">
    <mergeCell ref="E3:F3"/>
    <mergeCell ref="O3:P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Overview</vt:lpstr>
      <vt:lpstr>Summary</vt:lpstr>
      <vt:lpstr>Calc</vt:lpstr>
      <vt:lpstr>Vol special meter read</vt:lpstr>
      <vt:lpstr>Meter replacement volume</vt:lpstr>
      <vt:lpstr>New connections</vt:lpstr>
      <vt:lpstr>IT &amp; Comms opex</vt:lpstr>
      <vt:lpstr>Meter data management</vt:lpstr>
      <vt:lpstr>Meter Reading</vt:lpstr>
      <vt:lpstr>SUMMARY MR</vt:lpstr>
      <vt:lpstr>Actuals + Forecasts</vt:lpstr>
      <vt:lpstr>Resources</vt:lpstr>
      <vt:lpstr>MCFO Work</vt:lpstr>
      <vt:lpstr>Meter Asset Management</vt:lpstr>
    </vt:vector>
  </TitlesOfParts>
  <Company>SP-Ausnet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 Kwan See Toh</dc:creator>
  <cp:lastModifiedBy>Makani, Jeevika</cp:lastModifiedBy>
  <cp:lastPrinted>2015-04-27T07:56:53Z</cp:lastPrinted>
  <dcterms:created xsi:type="dcterms:W3CDTF">2015-03-26T09:42:08Z</dcterms:created>
  <dcterms:modified xsi:type="dcterms:W3CDTF">2015-10-19T03:07:37Z</dcterms:modified>
</cp:coreProperties>
</file>