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16392" windowHeight="5064" activeTab="6"/>
  </bookViews>
  <sheets>
    <sheet name="Overview" sheetId="28" r:id="rId1"/>
    <sheet name="Summary" sheetId="26" r:id="rId2"/>
    <sheet name="Calc" sheetId="6" r:id="rId3"/>
    <sheet name="Vol special meter read" sheetId="7" r:id="rId4"/>
    <sheet name="LG Invoices list" sheetId="25" r:id="rId5"/>
    <sheet name="Meter replacement volume" sheetId="17" r:id="rId6"/>
    <sheet name="New connections" sheetId="15" r:id="rId7"/>
    <sheet name="IT &amp; Comms opex revised" sheetId="29" r:id="rId8"/>
    <sheet name="Meter data management" sheetId="27" r:id="rId9"/>
    <sheet name="Meter Reading" sheetId="19" r:id="rId10"/>
    <sheet name="SUMMARY MR" sheetId="20" r:id="rId11"/>
    <sheet name="Actuals + Forecasts" sheetId="21" r:id="rId12"/>
    <sheet name="Resources" sheetId="22" r:id="rId13"/>
    <sheet name="MCFO Work" sheetId="31" r:id="rId14"/>
    <sheet name="Meter Asset Management" sheetId="24" r:id="rId15"/>
  </sheets>
  <externalReferences>
    <externalReference r:id="rId16"/>
    <externalReference r:id="rId17"/>
    <externalReference r:id="rId18"/>
    <externalReference r:id="rId19"/>
  </externalReferences>
  <definedNames>
    <definedName name="_xlnm._FilterDatabase" localSheetId="4" hidden="1">'LG Invoices list'!$A$1:$T$1</definedName>
    <definedName name="CA_BusCaseOptions">[1]BusCase_Options!$C$7:$C$12</definedName>
    <definedName name="CB_Include_CPI">[1]General_assump_BA!$D$38</definedName>
    <definedName name="DD_Chosen_Option">[1]General_assump_BA!$E$10</definedName>
    <definedName name="Err_Chks_Ttl_Areas">[1]Err_Chks_BO!$M$37</definedName>
    <definedName name="f">'[2]PTRM input'!$G$216</definedName>
    <definedName name="P_0_WAPC">'[2]X factors'!$G$47</definedName>
    <definedName name="RA_BusCaseOptions">[3]BusCase_Options!$D$6:$P$6</definedName>
    <definedName name="Recover">[4]Macro1!$A$76</definedName>
    <definedName name="TableName">"Dummy"</definedName>
    <definedName name="X_02_WAPC">'[2]X factors'!$H$47</definedName>
    <definedName name="X_03_WAPC">'[2]X factors'!$I$47</definedName>
    <definedName name="X_04_WAPC">'[2]X factors'!$J$47</definedName>
    <definedName name="X_05_WAPC">'[2]X factors'!$K$47</definedName>
  </definedNames>
  <calcPr calcId="145621" calcMode="manual"/>
</workbook>
</file>

<file path=xl/calcChain.xml><?xml version="1.0" encoding="utf-8"?>
<calcChain xmlns="http://schemas.openxmlformats.org/spreadsheetml/2006/main">
  <c r="L29" i="15" l="1"/>
  <c r="M29" i="15" s="1"/>
  <c r="N29" i="15" s="1"/>
  <c r="O29" i="15" s="1"/>
  <c r="P29" i="15" s="1"/>
  <c r="L28" i="15"/>
  <c r="M28" i="15" s="1"/>
  <c r="N28" i="15" s="1"/>
  <c r="O28" i="15" s="1"/>
  <c r="P28" i="15" s="1"/>
  <c r="M27" i="15"/>
  <c r="N27" i="15" s="1"/>
  <c r="O27" i="15" s="1"/>
  <c r="P27" i="15" s="1"/>
  <c r="L27" i="15"/>
  <c r="L26" i="15"/>
  <c r="M26" i="15" s="1"/>
  <c r="N26" i="15" s="1"/>
  <c r="O26" i="15" s="1"/>
  <c r="P26" i="15" s="1"/>
  <c r="L25" i="15"/>
  <c r="M25" i="15" s="1"/>
  <c r="N25" i="15" s="1"/>
  <c r="O25" i="15" s="1"/>
  <c r="P25" i="15" s="1"/>
  <c r="K110" i="29" l="1"/>
  <c r="K108" i="29"/>
  <c r="K107" i="29"/>
  <c r="K105" i="29"/>
  <c r="K104" i="29"/>
  <c r="K101" i="29"/>
  <c r="K100" i="29"/>
  <c r="K98" i="29"/>
  <c r="Z72" i="29"/>
  <c r="Z73" i="29"/>
  <c r="Y73" i="29"/>
  <c r="X73" i="29"/>
  <c r="W73" i="29"/>
  <c r="V73" i="29"/>
  <c r="U73" i="29"/>
  <c r="Y72" i="29"/>
  <c r="X72" i="29"/>
  <c r="W72" i="29"/>
  <c r="V72" i="29"/>
  <c r="U72" i="29"/>
  <c r="S73" i="29"/>
  <c r="R73" i="29"/>
  <c r="Q73" i="29"/>
  <c r="P73" i="29"/>
  <c r="O73" i="29"/>
  <c r="S72" i="29"/>
  <c r="R72" i="29"/>
  <c r="Q72" i="29"/>
  <c r="P72" i="29"/>
  <c r="O72" i="29"/>
  <c r="G72" i="29"/>
  <c r="H72" i="29"/>
  <c r="I72" i="29"/>
  <c r="J72" i="29"/>
  <c r="G73" i="29"/>
  <c r="H73" i="29"/>
  <c r="I73" i="29"/>
  <c r="J73" i="29"/>
  <c r="F73" i="29"/>
  <c r="F72" i="29"/>
  <c r="C35" i="31" l="1"/>
  <c r="D35" i="31" s="1"/>
  <c r="F71" i="31" s="1"/>
  <c r="K26" i="31" l="1"/>
  <c r="J26" i="31"/>
  <c r="I26" i="31"/>
  <c r="H26" i="31"/>
  <c r="G46" i="31"/>
  <c r="G48" i="31" s="1"/>
  <c r="G59" i="31"/>
  <c r="F59" i="31"/>
  <c r="F55" i="31" s="1"/>
  <c r="E59" i="31"/>
  <c r="E28" i="6" l="1"/>
  <c r="E32" i="6" s="1"/>
  <c r="E34" i="6" s="1"/>
  <c r="H46" i="31"/>
  <c r="E55" i="31"/>
  <c r="H48" i="31"/>
  <c r="D33" i="6"/>
  <c r="E33" i="6"/>
  <c r="F33" i="6"/>
  <c r="G33" i="6"/>
  <c r="H33" i="6"/>
  <c r="I33" i="6"/>
  <c r="D34" i="6"/>
  <c r="D14" i="6"/>
  <c r="D15" i="6"/>
  <c r="D10" i="6"/>
  <c r="D11" i="6"/>
  <c r="D6" i="6"/>
  <c r="D7" i="6"/>
  <c r="D28" i="26"/>
  <c r="E28" i="26" s="1"/>
  <c r="I82" i="6"/>
  <c r="D19" i="6"/>
  <c r="E83" i="6"/>
  <c r="E84" i="6" s="1"/>
  <c r="E101" i="6" s="1"/>
  <c r="I86" i="6"/>
  <c r="I87" i="6"/>
  <c r="I88" i="6"/>
  <c r="I91" i="6"/>
  <c r="I92" i="6"/>
  <c r="I93" i="6"/>
  <c r="I96" i="6"/>
  <c r="I97" i="6"/>
  <c r="I98" i="6"/>
  <c r="I107" i="6"/>
  <c r="D109" i="6"/>
  <c r="I111" i="6"/>
  <c r="I112" i="6"/>
  <c r="I113" i="6"/>
  <c r="I115" i="6"/>
  <c r="I116" i="6"/>
  <c r="I117" i="6" s="1"/>
  <c r="I119" i="6"/>
  <c r="I120" i="6"/>
  <c r="I121" i="6"/>
  <c r="I124" i="6"/>
  <c r="I125" i="6"/>
  <c r="I126" i="6"/>
  <c r="I128" i="6"/>
  <c r="I129" i="6"/>
  <c r="I130" i="6"/>
  <c r="I18" i="6"/>
  <c r="I19" i="6"/>
  <c r="I20" i="6"/>
  <c r="I23" i="6"/>
  <c r="I24" i="6"/>
  <c r="I25" i="6"/>
  <c r="I36" i="6"/>
  <c r="I37" i="6"/>
  <c r="I38" i="6"/>
  <c r="I40" i="6"/>
  <c r="I41" i="6"/>
  <c r="I42" i="6"/>
  <c r="I29" i="6"/>
  <c r="I46" i="6"/>
  <c r="H82" i="6"/>
  <c r="H86" i="6"/>
  <c r="H87" i="6"/>
  <c r="H88" i="6"/>
  <c r="H91" i="6"/>
  <c r="H92" i="6"/>
  <c r="H93" i="6"/>
  <c r="H96" i="6"/>
  <c r="H97" i="6"/>
  <c r="H98" i="6"/>
  <c r="H107" i="6"/>
  <c r="H111" i="6"/>
  <c r="H112" i="6"/>
  <c r="H113" i="6"/>
  <c r="H115" i="6"/>
  <c r="H116" i="6"/>
  <c r="H117" i="6" s="1"/>
  <c r="H119" i="6"/>
  <c r="H120" i="6"/>
  <c r="H121" i="6"/>
  <c r="H124" i="6"/>
  <c r="H125" i="6"/>
  <c r="H126" i="6"/>
  <c r="H128" i="6"/>
  <c r="H129" i="6"/>
  <c r="H130" i="6"/>
  <c r="H18" i="6"/>
  <c r="H19" i="6"/>
  <c r="H20" i="6"/>
  <c r="H23" i="6"/>
  <c r="H24" i="6"/>
  <c r="H25" i="6"/>
  <c r="H36" i="6"/>
  <c r="H37" i="6"/>
  <c r="H38" i="6"/>
  <c r="H40" i="6"/>
  <c r="H41" i="6"/>
  <c r="H42" i="6"/>
  <c r="H29" i="6"/>
  <c r="H46" i="6"/>
  <c r="G82" i="6"/>
  <c r="G86" i="6"/>
  <c r="G87" i="6"/>
  <c r="G88" i="6"/>
  <c r="G91" i="6"/>
  <c r="G92" i="6"/>
  <c r="G93" i="6"/>
  <c r="G96" i="6"/>
  <c r="G97" i="6"/>
  <c r="G98" i="6"/>
  <c r="G107" i="6"/>
  <c r="G111" i="6"/>
  <c r="G112" i="6"/>
  <c r="G113" i="6"/>
  <c r="G115" i="6"/>
  <c r="G116" i="6"/>
  <c r="G117" i="6" s="1"/>
  <c r="G119" i="6"/>
  <c r="G120" i="6"/>
  <c r="G121" i="6"/>
  <c r="G124" i="6"/>
  <c r="G125" i="6"/>
  <c r="G126" i="6"/>
  <c r="G128" i="6"/>
  <c r="G129" i="6"/>
  <c r="G130" i="6"/>
  <c r="G18" i="6"/>
  <c r="G19" i="6"/>
  <c r="G20" i="6"/>
  <c r="G23" i="6"/>
  <c r="G24" i="6"/>
  <c r="G25" i="6"/>
  <c r="G36" i="6"/>
  <c r="G37" i="6"/>
  <c r="G38" i="6"/>
  <c r="G40" i="6"/>
  <c r="G41" i="6"/>
  <c r="G42" i="6"/>
  <c r="G29" i="6"/>
  <c r="G46" i="6"/>
  <c r="F82" i="6"/>
  <c r="F86" i="6"/>
  <c r="F87" i="6"/>
  <c r="F88" i="6"/>
  <c r="F91" i="6"/>
  <c r="F92" i="6"/>
  <c r="F93" i="6"/>
  <c r="F96" i="6"/>
  <c r="F97" i="6"/>
  <c r="F98" i="6"/>
  <c r="F107" i="6"/>
  <c r="F111" i="6"/>
  <c r="F112" i="6"/>
  <c r="F113" i="6"/>
  <c r="F115" i="6"/>
  <c r="F116" i="6"/>
  <c r="F117" i="6" s="1"/>
  <c r="F119" i="6"/>
  <c r="F120" i="6"/>
  <c r="F121" i="6"/>
  <c r="F124" i="6"/>
  <c r="F125" i="6"/>
  <c r="F126" i="6"/>
  <c r="F128" i="6"/>
  <c r="F129" i="6"/>
  <c r="F130" i="6"/>
  <c r="F18" i="6"/>
  <c r="F19" i="6"/>
  <c r="F20" i="6"/>
  <c r="F23" i="6"/>
  <c r="F24" i="6"/>
  <c r="F25" i="6"/>
  <c r="F36" i="6"/>
  <c r="F37" i="6"/>
  <c r="F38" i="6"/>
  <c r="F40" i="6"/>
  <c r="F41" i="6"/>
  <c r="F42" i="6"/>
  <c r="F29" i="6"/>
  <c r="F46" i="6"/>
  <c r="E82" i="6"/>
  <c r="E86" i="6"/>
  <c r="E87" i="6"/>
  <c r="E88" i="6"/>
  <c r="E91" i="6"/>
  <c r="E92" i="6"/>
  <c r="E93" i="6"/>
  <c r="E96" i="6"/>
  <c r="E97" i="6"/>
  <c r="E98" i="6"/>
  <c r="E107" i="6"/>
  <c r="E111" i="6"/>
  <c r="E112" i="6"/>
  <c r="E113" i="6"/>
  <c r="E115" i="6"/>
  <c r="E116" i="6"/>
  <c r="E117" i="6" s="1"/>
  <c r="E119" i="6"/>
  <c r="E120" i="6"/>
  <c r="E121" i="6"/>
  <c r="E124" i="6"/>
  <c r="E125" i="6"/>
  <c r="E126" i="6"/>
  <c r="E128" i="6"/>
  <c r="E129" i="6"/>
  <c r="E130" i="6"/>
  <c r="E18" i="6"/>
  <c r="E19" i="6"/>
  <c r="E20" i="6"/>
  <c r="E23" i="6"/>
  <c r="E24" i="6"/>
  <c r="E25" i="6"/>
  <c r="E36" i="6"/>
  <c r="E37" i="6"/>
  <c r="E38" i="6"/>
  <c r="E40" i="6"/>
  <c r="E41" i="6"/>
  <c r="E42" i="6"/>
  <c r="E29" i="6"/>
  <c r="E46" i="6"/>
  <c r="I50" i="6"/>
  <c r="I51" i="6"/>
  <c r="I54" i="6"/>
  <c r="I55" i="6"/>
  <c r="I57" i="6"/>
  <c r="I59" i="6"/>
  <c r="H50" i="6"/>
  <c r="H51" i="6"/>
  <c r="H54" i="6"/>
  <c r="H55" i="6"/>
  <c r="H57" i="6"/>
  <c r="H59" i="6"/>
  <c r="G50" i="6"/>
  <c r="G51" i="6"/>
  <c r="G54" i="6"/>
  <c r="G55" i="6"/>
  <c r="G57" i="6"/>
  <c r="G59" i="6"/>
  <c r="F50" i="6"/>
  <c r="F51" i="6"/>
  <c r="F54" i="6"/>
  <c r="F55" i="6"/>
  <c r="F57" i="6"/>
  <c r="F59" i="6"/>
  <c r="E49" i="6"/>
  <c r="E50" i="6"/>
  <c r="E51" i="6"/>
  <c r="E54" i="6"/>
  <c r="E55" i="6"/>
  <c r="E57" i="6"/>
  <c r="E59" i="6"/>
  <c r="D82" i="6"/>
  <c r="D86" i="6"/>
  <c r="D91" i="6"/>
  <c r="D96" i="6"/>
  <c r="D18" i="6"/>
  <c r="D20" i="6"/>
  <c r="D107" i="6"/>
  <c r="D111" i="6"/>
  <c r="D115" i="6"/>
  <c r="D119" i="6"/>
  <c r="D124" i="6"/>
  <c r="D23" i="6"/>
  <c r="D24" i="6"/>
  <c r="D25" i="6"/>
  <c r="D29" i="6"/>
  <c r="D30" i="6"/>
  <c r="D32" i="6"/>
  <c r="D36" i="6"/>
  <c r="D37" i="6"/>
  <c r="D38" i="6"/>
  <c r="D40" i="6"/>
  <c r="D41" i="6"/>
  <c r="D42" i="6"/>
  <c r="D45" i="6"/>
  <c r="D47" i="6" s="1"/>
  <c r="D46" i="6"/>
  <c r="D87" i="6"/>
  <c r="D88" i="6"/>
  <c r="D92" i="6"/>
  <c r="D93" i="6"/>
  <c r="D97" i="6"/>
  <c r="D98" i="6"/>
  <c r="D112" i="6"/>
  <c r="D113" i="6"/>
  <c r="D116" i="6"/>
  <c r="D117" i="6"/>
  <c r="D132" i="6" s="1"/>
  <c r="D120" i="6"/>
  <c r="D121" i="6"/>
  <c r="D125" i="6"/>
  <c r="D126" i="6"/>
  <c r="D128" i="6"/>
  <c r="D130" i="6"/>
  <c r="D49" i="6"/>
  <c r="D57" i="6"/>
  <c r="D59" i="6"/>
  <c r="D50" i="6"/>
  <c r="D51" i="6"/>
  <c r="D54" i="6"/>
  <c r="D55" i="6"/>
  <c r="L32" i="26"/>
  <c r="Q32" i="26" s="1"/>
  <c r="M32" i="26"/>
  <c r="N32" i="26"/>
  <c r="O32" i="26"/>
  <c r="P32" i="26"/>
  <c r="F21" i="26"/>
  <c r="E21" i="26" s="1"/>
  <c r="G21" i="26"/>
  <c r="N22" i="26" s="1"/>
  <c r="H21" i="26"/>
  <c r="O22" i="26"/>
  <c r="I21" i="26"/>
  <c r="P22" i="26" s="1"/>
  <c r="L7" i="26"/>
  <c r="E6" i="26"/>
  <c r="L10" i="26"/>
  <c r="E7" i="26"/>
  <c r="L11" i="26"/>
  <c r="M7" i="26"/>
  <c r="F6" i="26"/>
  <c r="M10" i="26" s="1"/>
  <c r="F7" i="26"/>
  <c r="M11" i="26"/>
  <c r="N7" i="26"/>
  <c r="G6" i="26"/>
  <c r="N10" i="26" s="1"/>
  <c r="G7" i="26"/>
  <c r="N11" i="26"/>
  <c r="O7" i="26"/>
  <c r="H6" i="26"/>
  <c r="O10" i="26"/>
  <c r="H7" i="26"/>
  <c r="O11" i="26" s="1"/>
  <c r="P7" i="26"/>
  <c r="I6" i="26"/>
  <c r="P10" i="26"/>
  <c r="I7" i="26"/>
  <c r="P11" i="26"/>
  <c r="I104" i="29"/>
  <c r="J104" i="29"/>
  <c r="G104" i="29"/>
  <c r="H104" i="29"/>
  <c r="F104" i="29"/>
  <c r="D7" i="26"/>
  <c r="Q6" i="26"/>
  <c r="Q12" i="26"/>
  <c r="H39" i="31"/>
  <c r="G39" i="31"/>
  <c r="B25" i="31"/>
  <c r="B26" i="31"/>
  <c r="B27" i="31"/>
  <c r="F18" i="31" s="1"/>
  <c r="B28" i="31"/>
  <c r="B29" i="31"/>
  <c r="B31" i="31"/>
  <c r="B32" i="31"/>
  <c r="B30" i="31"/>
  <c r="K27" i="31"/>
  <c r="J27" i="31"/>
  <c r="I27" i="31"/>
  <c r="H27" i="31"/>
  <c r="B24" i="31"/>
  <c r="B23" i="31"/>
  <c r="B22" i="31"/>
  <c r="B21" i="31"/>
  <c r="B20" i="31"/>
  <c r="B19" i="31"/>
  <c r="C19" i="31" s="1"/>
  <c r="E71" i="31" s="1"/>
  <c r="B18" i="31"/>
  <c r="C29" i="31" s="1"/>
  <c r="B17" i="31"/>
  <c r="B16" i="31"/>
  <c r="CG4" i="31"/>
  <c r="CG5" i="31"/>
  <c r="CG6" i="31"/>
  <c r="CG7" i="31"/>
  <c r="CG8" i="31"/>
  <c r="CG9" i="31"/>
  <c r="CG10" i="31"/>
  <c r="CG11" i="31"/>
  <c r="CG12" i="31"/>
  <c r="CG13" i="31"/>
  <c r="G100" i="29"/>
  <c r="G105" i="29" s="1"/>
  <c r="H100" i="29"/>
  <c r="H105" i="29" s="1"/>
  <c r="I100" i="29"/>
  <c r="J100" i="29"/>
  <c r="F100" i="29"/>
  <c r="F107" i="29"/>
  <c r="G107" i="29"/>
  <c r="H107" i="29"/>
  <c r="I107" i="29"/>
  <c r="J107" i="29"/>
  <c r="E25" i="26"/>
  <c r="H29" i="26"/>
  <c r="I29" i="26"/>
  <c r="D29" i="26"/>
  <c r="I26" i="26"/>
  <c r="I25" i="26"/>
  <c r="H26" i="26"/>
  <c r="G26" i="26"/>
  <c r="F26" i="26"/>
  <c r="E26" i="26"/>
  <c r="D26" i="26"/>
  <c r="I68" i="6"/>
  <c r="H68" i="6"/>
  <c r="G68" i="6"/>
  <c r="F68" i="6"/>
  <c r="E68" i="6"/>
  <c r="D6" i="26"/>
  <c r="E15" i="26"/>
  <c r="F15" i="26"/>
  <c r="G15" i="26"/>
  <c r="H15" i="26"/>
  <c r="I15" i="26"/>
  <c r="D15" i="26"/>
  <c r="Q19" i="15"/>
  <c r="Q17" i="15"/>
  <c r="Q15" i="15"/>
  <c r="Q13" i="15"/>
  <c r="Q11" i="15"/>
  <c r="Q9" i="15"/>
  <c r="K13" i="6"/>
  <c r="D8" i="17"/>
  <c r="E8" i="17"/>
  <c r="F8" i="17"/>
  <c r="G8" i="17"/>
  <c r="H8" i="17"/>
  <c r="C8" i="17"/>
  <c r="A25" i="24"/>
  <c r="V19" i="24"/>
  <c r="O6" i="24"/>
  <c r="U19" i="24"/>
  <c r="N6" i="24"/>
  <c r="T19" i="24"/>
  <c r="M6" i="24"/>
  <c r="S19" i="24"/>
  <c r="L6" i="24"/>
  <c r="R19" i="24"/>
  <c r="K6" i="24"/>
  <c r="Q19" i="24"/>
  <c r="J6" i="24"/>
  <c r="V20" i="24"/>
  <c r="U20" i="24"/>
  <c r="T20" i="24"/>
  <c r="S20" i="24"/>
  <c r="R20" i="24"/>
  <c r="Q20" i="24"/>
  <c r="O7" i="24"/>
  <c r="N7" i="24"/>
  <c r="M7" i="24"/>
  <c r="L7" i="24"/>
  <c r="K7" i="24"/>
  <c r="J7" i="24"/>
  <c r="C21" i="21"/>
  <c r="C22" i="21"/>
  <c r="C23" i="21"/>
  <c r="C24" i="21"/>
  <c r="I13" i="22"/>
  <c r="H13" i="22"/>
  <c r="F13" i="22"/>
  <c r="D13" i="22"/>
  <c r="C15" i="21"/>
  <c r="C16" i="21"/>
  <c r="D15" i="21"/>
  <c r="D16" i="21"/>
  <c r="E15" i="21"/>
  <c r="E16" i="21"/>
  <c r="F15" i="21"/>
  <c r="F16" i="21"/>
  <c r="G15" i="21"/>
  <c r="G16" i="21"/>
  <c r="H15" i="21"/>
  <c r="H16" i="21"/>
  <c r="I15" i="21"/>
  <c r="I16" i="21"/>
  <c r="J15" i="21"/>
  <c r="J16" i="21"/>
  <c r="K15" i="21"/>
  <c r="K16" i="21"/>
  <c r="L15" i="21"/>
  <c r="L16" i="21"/>
  <c r="M15" i="21"/>
  <c r="M16" i="21"/>
  <c r="O16" i="21"/>
  <c r="G12" i="22"/>
  <c r="C8" i="21"/>
  <c r="C9" i="21"/>
  <c r="C10" i="21"/>
  <c r="C11" i="21"/>
  <c r="D8" i="21"/>
  <c r="D9" i="21"/>
  <c r="D10" i="21"/>
  <c r="D11" i="21"/>
  <c r="E8" i="21"/>
  <c r="E9" i="21"/>
  <c r="E10" i="21"/>
  <c r="E11" i="21"/>
  <c r="F8" i="21"/>
  <c r="F9" i="21"/>
  <c r="F10" i="21"/>
  <c r="F11" i="21"/>
  <c r="G8" i="21"/>
  <c r="G9" i="21"/>
  <c r="G10" i="21"/>
  <c r="G11" i="21"/>
  <c r="H8" i="21"/>
  <c r="H9" i="21"/>
  <c r="H10" i="21"/>
  <c r="H11" i="21"/>
  <c r="I8" i="21"/>
  <c r="I9" i="21"/>
  <c r="I10" i="21"/>
  <c r="I11" i="21"/>
  <c r="J8" i="21"/>
  <c r="J9" i="21"/>
  <c r="J10" i="21"/>
  <c r="J11" i="21"/>
  <c r="K8" i="21"/>
  <c r="K9" i="21"/>
  <c r="K10" i="21"/>
  <c r="K11" i="21"/>
  <c r="L8" i="21"/>
  <c r="L9" i="21"/>
  <c r="L10" i="21"/>
  <c r="L11" i="21"/>
  <c r="M8" i="21"/>
  <c r="M9" i="21"/>
  <c r="M10" i="21"/>
  <c r="M11" i="21"/>
  <c r="O11" i="21"/>
  <c r="E12" i="22"/>
  <c r="G11" i="22"/>
  <c r="E11" i="22"/>
  <c r="G10" i="22"/>
  <c r="E10" i="22"/>
  <c r="G9" i="22"/>
  <c r="E9" i="22"/>
  <c r="G8" i="22"/>
  <c r="E8" i="22"/>
  <c r="G7" i="22"/>
  <c r="E7" i="22"/>
  <c r="G6" i="22"/>
  <c r="E6" i="22"/>
  <c r="G5" i="22"/>
  <c r="E5" i="22"/>
  <c r="F25" i="21"/>
  <c r="F26" i="21"/>
  <c r="F27" i="21"/>
  <c r="F22" i="21"/>
  <c r="C17" i="21"/>
  <c r="D17" i="21"/>
  <c r="E17" i="21"/>
  <c r="F17" i="21"/>
  <c r="G17" i="21"/>
  <c r="H17" i="21"/>
  <c r="I17" i="21"/>
  <c r="J17" i="21"/>
  <c r="K17" i="21"/>
  <c r="L17" i="21"/>
  <c r="M17" i="21"/>
  <c r="O17" i="21"/>
  <c r="N13" i="21"/>
  <c r="N14" i="21"/>
  <c r="N15" i="21"/>
  <c r="N4" i="21"/>
  <c r="N5" i="21"/>
  <c r="N6" i="21"/>
  <c r="N7" i="21"/>
  <c r="N8" i="21"/>
  <c r="D19" i="15"/>
  <c r="D17" i="15"/>
  <c r="D15" i="15"/>
  <c r="D13" i="15"/>
  <c r="D11" i="15"/>
  <c r="D9" i="15"/>
  <c r="E14" i="7"/>
  <c r="D14" i="7"/>
  <c r="C14" i="7"/>
  <c r="B14" i="7"/>
  <c r="G12" i="7"/>
  <c r="G10" i="7"/>
  <c r="G8" i="7"/>
  <c r="L9" i="7"/>
  <c r="G6" i="7"/>
  <c r="K7" i="7"/>
  <c r="M9" i="7"/>
  <c r="J8" i="7"/>
  <c r="N9" i="7"/>
  <c r="I8" i="7"/>
  <c r="J6" i="7"/>
  <c r="N7" i="7"/>
  <c r="K9" i="7"/>
  <c r="L7" i="7"/>
  <c r="I6" i="7"/>
  <c r="M7" i="7"/>
  <c r="E136" i="6"/>
  <c r="D68" i="6"/>
  <c r="G136" i="6"/>
  <c r="H136" i="6"/>
  <c r="D136" i="6"/>
  <c r="F136" i="6"/>
  <c r="I136" i="6"/>
  <c r="D66" i="6" l="1"/>
  <c r="F20" i="31"/>
  <c r="L20" i="31"/>
  <c r="M22" i="31" s="1"/>
  <c r="D29" i="31"/>
  <c r="E48" i="31"/>
  <c r="C41" i="31"/>
  <c r="I39" i="31"/>
  <c r="J39" i="31" s="1"/>
  <c r="D67" i="6"/>
  <c r="Q7" i="26"/>
  <c r="E23" i="26"/>
  <c r="L24" i="26" s="1"/>
  <c r="D23" i="26"/>
  <c r="E20" i="26"/>
  <c r="L22" i="26"/>
  <c r="D21" i="26"/>
  <c r="D20" i="26" s="1"/>
  <c r="M22" i="26"/>
  <c r="Q22" i="26" s="1"/>
  <c r="H108" i="29"/>
  <c r="Q10" i="26"/>
  <c r="Q11" i="26"/>
  <c r="P26" i="26"/>
  <c r="G25" i="26"/>
  <c r="G29" i="26"/>
  <c r="E29" i="26"/>
  <c r="L26" i="26" s="1"/>
  <c r="F108" i="29"/>
  <c r="F25" i="26"/>
  <c r="H30" i="26"/>
  <c r="F29" i="26"/>
  <c r="H25" i="26"/>
  <c r="O26" i="26" s="1"/>
  <c r="D30" i="26"/>
  <c r="E30" i="26"/>
  <c r="D25" i="26"/>
  <c r="G30" i="26"/>
  <c r="J110" i="29"/>
  <c r="I110" i="29"/>
  <c r="G108" i="29"/>
  <c r="E108" i="6"/>
  <c r="F108" i="6" s="1"/>
  <c r="F83" i="6"/>
  <c r="G83" i="6" s="1"/>
  <c r="H83" i="6" s="1"/>
  <c r="H12" i="27"/>
  <c r="D84" i="6"/>
  <c r="L14" i="7"/>
  <c r="I14" i="7"/>
  <c r="D11" i="27"/>
  <c r="F12" i="27"/>
  <c r="H13" i="27"/>
  <c r="J105" i="29"/>
  <c r="B12" i="27"/>
  <c r="G22" i="26"/>
  <c r="H11" i="27"/>
  <c r="J14" i="7"/>
  <c r="L13" i="27"/>
  <c r="I22" i="26" s="1"/>
  <c r="C39" i="26"/>
  <c r="L12" i="27"/>
  <c r="L11" i="27"/>
  <c r="B11" i="27"/>
  <c r="N14" i="7"/>
  <c r="M14" i="7"/>
  <c r="B14" i="26"/>
  <c r="B39" i="26"/>
  <c r="F13" i="27"/>
  <c r="E30" i="6"/>
  <c r="C10" i="26"/>
  <c r="C14" i="26"/>
  <c r="C38" i="26"/>
  <c r="K14" i="7"/>
  <c r="J12" i="27"/>
  <c r="J11" i="27"/>
  <c r="B38" i="26"/>
  <c r="D13" i="27"/>
  <c r="D12" i="27"/>
  <c r="I83" i="6"/>
  <c r="I84" i="6" s="1"/>
  <c r="H84" i="6"/>
  <c r="F22" i="26"/>
  <c r="F105" i="29"/>
  <c r="F28" i="26"/>
  <c r="L25" i="26"/>
  <c r="B10" i="26"/>
  <c r="F11" i="27"/>
  <c r="I105" i="29"/>
  <c r="F84" i="6"/>
  <c r="G84" i="6"/>
  <c r="B13" i="27"/>
  <c r="J13" i="27"/>
  <c r="I23" i="26"/>
  <c r="H23" i="26"/>
  <c r="F23" i="26"/>
  <c r="E45" i="6"/>
  <c r="E47" i="6" s="1"/>
  <c r="I46" i="31"/>
  <c r="K39" i="31" l="1"/>
  <c r="D41" i="31"/>
  <c r="F48" i="31"/>
  <c r="E70" i="31"/>
  <c r="E45" i="31"/>
  <c r="E72" i="31" s="1"/>
  <c r="E109" i="6"/>
  <c r="F30" i="26"/>
  <c r="N26" i="26"/>
  <c r="E27" i="26"/>
  <c r="D27" i="26"/>
  <c r="D40" i="26" s="1"/>
  <c r="M26" i="26"/>
  <c r="G23" i="26"/>
  <c r="N24" i="26" s="1"/>
  <c r="E67" i="6"/>
  <c r="D101" i="6"/>
  <c r="D135" i="6"/>
  <c r="N23" i="26"/>
  <c r="P23" i="26"/>
  <c r="M23" i="26"/>
  <c r="E22" i="26"/>
  <c r="G108" i="6"/>
  <c r="F109" i="6"/>
  <c r="F132" i="6" s="1"/>
  <c r="G101" i="6"/>
  <c r="F101" i="6"/>
  <c r="M25" i="26"/>
  <c r="G28" i="26"/>
  <c r="H101" i="6"/>
  <c r="H22" i="26"/>
  <c r="D22" i="26"/>
  <c r="I101" i="6"/>
  <c r="E132" i="6"/>
  <c r="E134" i="6" s="1"/>
  <c r="E135" i="6"/>
  <c r="P24" i="26"/>
  <c r="O24" i="26"/>
  <c r="M24" i="26"/>
  <c r="F39" i="26"/>
  <c r="E66" i="6"/>
  <c r="L8" i="26"/>
  <c r="I48" i="31"/>
  <c r="J46" i="31" s="1"/>
  <c r="F70" i="31" l="1"/>
  <c r="F45" i="31"/>
  <c r="F72" i="31" s="1"/>
  <c r="E5" i="26"/>
  <c r="E14" i="26" s="1"/>
  <c r="F27" i="26"/>
  <c r="F38" i="26" s="1"/>
  <c r="Q26" i="26"/>
  <c r="I30" i="26"/>
  <c r="L31" i="26"/>
  <c r="E40" i="26"/>
  <c r="G27" i="26"/>
  <c r="D134" i="6"/>
  <c r="D5" i="26"/>
  <c r="O23" i="26"/>
  <c r="L5" i="26"/>
  <c r="L9" i="26" s="1"/>
  <c r="L13" i="26" s="1"/>
  <c r="D39" i="26"/>
  <c r="D38" i="26"/>
  <c r="N25" i="26"/>
  <c r="H28" i="26"/>
  <c r="G39" i="26"/>
  <c r="E39" i="26"/>
  <c r="E38" i="26"/>
  <c r="L23" i="26"/>
  <c r="F135" i="6"/>
  <c r="G109" i="6"/>
  <c r="H108" i="6"/>
  <c r="F134" i="6"/>
  <c r="Q24" i="26"/>
  <c r="M28" i="26"/>
  <c r="J48" i="31"/>
  <c r="K46" i="31" s="1"/>
  <c r="E10" i="26" l="1"/>
  <c r="M31" i="26"/>
  <c r="M34" i="26" s="1"/>
  <c r="F40" i="26"/>
  <c r="N31" i="26"/>
  <c r="G40" i="26"/>
  <c r="G38" i="26"/>
  <c r="H27" i="26"/>
  <c r="D14" i="26"/>
  <c r="D10" i="26"/>
  <c r="H57" i="31"/>
  <c r="H59" i="31" s="1"/>
  <c r="G132" i="6"/>
  <c r="G134" i="6" s="1"/>
  <c r="G135" i="6"/>
  <c r="L28" i="26"/>
  <c r="L34" i="26" s="1"/>
  <c r="Q23" i="26"/>
  <c r="N28" i="26"/>
  <c r="M5" i="26"/>
  <c r="H109" i="6"/>
  <c r="I108" i="6"/>
  <c r="I109" i="6" s="1"/>
  <c r="O25" i="26"/>
  <c r="I28" i="26"/>
  <c r="H39" i="26"/>
  <c r="K48" i="31"/>
  <c r="L45" i="31" s="1"/>
  <c r="I27" i="26" l="1"/>
  <c r="O31" i="26"/>
  <c r="H40" i="26"/>
  <c r="H38" i="26"/>
  <c r="N34" i="26"/>
  <c r="I57" i="31"/>
  <c r="J57" i="31" s="1"/>
  <c r="J59" i="31" s="1"/>
  <c r="H28" i="6" s="1"/>
  <c r="F28" i="6"/>
  <c r="F32" i="6" s="1"/>
  <c r="F34" i="6" s="1"/>
  <c r="I132" i="6"/>
  <c r="I134" i="6" s="1"/>
  <c r="I135" i="6"/>
  <c r="P25" i="26"/>
  <c r="Q25" i="26" s="1"/>
  <c r="Q28" i="26" s="1"/>
  <c r="I39" i="26"/>
  <c r="H132" i="6"/>
  <c r="H134" i="6" s="1"/>
  <c r="H135" i="6"/>
  <c r="O28" i="26"/>
  <c r="N5" i="26"/>
  <c r="I59" i="31" l="1"/>
  <c r="P31" i="26"/>
  <c r="Q31" i="26" s="1"/>
  <c r="Q34" i="26" s="1"/>
  <c r="I40" i="26"/>
  <c r="O34" i="26"/>
  <c r="I38" i="26"/>
  <c r="F30" i="6"/>
  <c r="F66" i="6" s="1"/>
  <c r="F45" i="6"/>
  <c r="F47" i="6" s="1"/>
  <c r="P28" i="26"/>
  <c r="O5" i="26"/>
  <c r="P5" i="26"/>
  <c r="K57" i="31"/>
  <c r="K59" i="31" s="1"/>
  <c r="I28" i="6" s="1"/>
  <c r="I30" i="6" s="1"/>
  <c r="G28" i="6"/>
  <c r="H30" i="6"/>
  <c r="H32" i="6"/>
  <c r="H34" i="6" s="1"/>
  <c r="H45" i="6"/>
  <c r="H47" i="6" s="1"/>
  <c r="P34" i="26" l="1"/>
  <c r="F67" i="6"/>
  <c r="F5" i="26"/>
  <c r="F14" i="26" s="1"/>
  <c r="M8" i="26"/>
  <c r="M9" i="26" s="1"/>
  <c r="M13" i="26" s="1"/>
  <c r="Q5" i="26"/>
  <c r="I45" i="6"/>
  <c r="I47" i="6" s="1"/>
  <c r="I67" i="6" s="1"/>
  <c r="I32" i="6"/>
  <c r="I34" i="6" s="1"/>
  <c r="H66" i="6"/>
  <c r="H67" i="6"/>
  <c r="H5" i="26"/>
  <c r="O8" i="26"/>
  <c r="O9" i="26" s="1"/>
  <c r="O13" i="26" s="1"/>
  <c r="G30" i="6"/>
  <c r="G32" i="6"/>
  <c r="G34" i="6" s="1"/>
  <c r="G45" i="6"/>
  <c r="G47" i="6" s="1"/>
  <c r="F10" i="26" l="1"/>
  <c r="I5" i="26"/>
  <c r="I66" i="6"/>
  <c r="P8" i="26"/>
  <c r="P9" i="26" s="1"/>
  <c r="P13" i="26" s="1"/>
  <c r="G66" i="6"/>
  <c r="G5" i="26"/>
  <c r="G67" i="6"/>
  <c r="N8" i="26"/>
  <c r="N9" i="26" s="1"/>
  <c r="N13" i="26" s="1"/>
  <c r="H10" i="26"/>
  <c r="H14" i="26"/>
  <c r="I10" i="26" l="1"/>
  <c r="I14" i="26"/>
  <c r="G14" i="26"/>
  <c r="G10" i="26"/>
  <c r="Q8" i="26"/>
  <c r="Q9" i="26" s="1"/>
  <c r="Q13" i="26" s="1"/>
</calcChain>
</file>

<file path=xl/comments1.xml><?xml version="1.0" encoding="utf-8"?>
<comments xmlns="http://schemas.openxmlformats.org/spreadsheetml/2006/main">
  <authors>
    <author>Mei Kwan See Toh</author>
  </authors>
  <commentList>
    <comment ref="A28" authorId="0">
      <text>
        <r>
          <rPr>
            <sz val="9"/>
            <color rgb="FF000000"/>
            <rFont val="Tahoma"/>
            <family val="2"/>
          </rPr>
          <t>CY14 and CY15 relate to audit fees and legal costs. CY16 onwards relate to management costs of the metering function</t>
        </r>
      </text>
    </comment>
  </commentList>
</comments>
</file>

<file path=xl/comments2.xml><?xml version="1.0" encoding="utf-8"?>
<comments xmlns="http://schemas.openxmlformats.org/spreadsheetml/2006/main">
  <authors>
    <author>jsmith</author>
  </authors>
  <commentList>
    <comment ref="P1" authorId="0">
      <text>
        <r>
          <rPr>
            <b/>
            <sz val="8"/>
            <color indexed="81"/>
            <rFont val="Tahoma"/>
            <family val="2"/>
          </rPr>
          <t>jsmith:</t>
        </r>
        <r>
          <rPr>
            <sz val="8"/>
            <color indexed="81"/>
            <rFont val="Tahoma"/>
            <family val="2"/>
          </rPr>
          <t xml:space="preserve">
As Stated on L&amp;G invoice</t>
        </r>
      </text>
    </comment>
  </commentList>
</comments>
</file>

<file path=xl/comments3.xml><?xml version="1.0" encoding="utf-8"?>
<comments xmlns="http://schemas.openxmlformats.org/spreadsheetml/2006/main">
  <authors>
    <author>Mei Kwan See Toh</author>
  </authors>
  <commentList>
    <comment ref="F47" authorId="0">
      <text>
        <r>
          <rPr>
            <b/>
            <sz val="9"/>
            <color indexed="81"/>
            <rFont val="Tahoma"/>
            <family val="2"/>
          </rPr>
          <t>Mei Kwan See Toh:</t>
        </r>
        <r>
          <rPr>
            <sz val="9"/>
            <color indexed="81"/>
            <rFont val="Tahoma"/>
            <family val="2"/>
          </rPr>
          <t xml:space="preserve">
12 FTEs</t>
        </r>
      </text>
    </comment>
    <comment ref="O47" authorId="0">
      <text>
        <r>
          <rPr>
            <b/>
            <sz val="9"/>
            <color rgb="FF000000"/>
            <rFont val="Tahoma"/>
            <family val="2"/>
          </rPr>
          <t>Mei Kwan See Toh:</t>
        </r>
        <r>
          <rPr>
            <sz val="9"/>
            <color rgb="FF000000"/>
            <rFont val="Tahoma"/>
            <family val="2"/>
          </rPr>
          <t xml:space="preserve">
12 FTEs</t>
        </r>
      </text>
    </comment>
  </commentList>
</comments>
</file>

<file path=xl/sharedStrings.xml><?xml version="1.0" encoding="utf-8"?>
<sst xmlns="http://schemas.openxmlformats.org/spreadsheetml/2006/main" count="798" uniqueCount="436">
  <si>
    <t>NewNet NSP &amp; Routine Maintenance</t>
  </si>
  <si>
    <t>NetSolutions Firewalls &amp; F5</t>
  </si>
  <si>
    <t>Dimension Data MPLS HW Support Cisco</t>
  </si>
  <si>
    <t>Landis &amp; Gyr Pty Ltd</t>
  </si>
  <si>
    <t>Unwired Australia / Optus</t>
  </si>
  <si>
    <t>NBN Co / Austar</t>
  </si>
  <si>
    <t>Telstra 3G/4G LTE comms charges</t>
  </si>
  <si>
    <t>Mesh Backhaul 3G connections</t>
  </si>
  <si>
    <t>GridNet Policy Net</t>
  </si>
  <si>
    <t>IBM</t>
  </si>
  <si>
    <t>Oracle Corporation Australia Pty Limited (Software)</t>
  </si>
  <si>
    <t>Siemens (eMeter)</t>
  </si>
  <si>
    <t>SAP</t>
  </si>
  <si>
    <t>Symantec</t>
  </si>
  <si>
    <t>Bit Stew Systems Inc.</t>
  </si>
  <si>
    <t>Hewlett Packard (Quality Centre)</t>
  </si>
  <si>
    <t>Server Linux Licencing</t>
  </si>
  <si>
    <t>AMI Operations Manager</t>
  </si>
  <si>
    <t>Linux/Solaris Admin</t>
  </si>
  <si>
    <t>Grid Director Support Analyst</t>
  </si>
  <si>
    <t>CNMS Support Engineer</t>
  </si>
  <si>
    <t>NetCool Support Analyst</t>
  </si>
  <si>
    <t>BAU Testing Team</t>
  </si>
  <si>
    <t>Tower Maintenance</t>
  </si>
  <si>
    <t>Rent - WiMAX tower sites</t>
  </si>
  <si>
    <t>Training</t>
  </si>
  <si>
    <t>AMI Ops Other Exp</t>
  </si>
  <si>
    <t>SAP-ISU Team Lead</t>
  </si>
  <si>
    <t>Senior Functional Analyst</t>
  </si>
  <si>
    <t>MMS Team Lead</t>
  </si>
  <si>
    <t>MMS Technical Analysts - Period 1</t>
  </si>
  <si>
    <t>Service Management</t>
  </si>
  <si>
    <t>EnergyIP Team Lead</t>
  </si>
  <si>
    <t>Technical Analyst</t>
  </si>
  <si>
    <t>AMI Network TL</t>
  </si>
  <si>
    <t>MPLS Senior Engineers</t>
  </si>
  <si>
    <t>Labour</t>
  </si>
  <si>
    <t>Total</t>
  </si>
  <si>
    <t>Meter Reading</t>
  </si>
  <si>
    <t>CY15</t>
  </si>
  <si>
    <t>CY16</t>
  </si>
  <si>
    <t>CY17</t>
  </si>
  <si>
    <t>CY18</t>
  </si>
  <si>
    <t>CY19</t>
  </si>
  <si>
    <t>CY20</t>
  </si>
  <si>
    <t>Meter Hardware - 400 (1ph 1e)</t>
  </si>
  <si>
    <t>Meter Hardware - 410 (1ph 1e 1contactor)</t>
  </si>
  <si>
    <t>Meter Hardware - 430 (3ph 1contactor)</t>
  </si>
  <si>
    <t>Meter Hardware - 450 (3ph CT)</t>
  </si>
  <si>
    <t>Quantity</t>
  </si>
  <si>
    <t>Micro AP Comms Modules - new connections</t>
  </si>
  <si>
    <t>Cost per Micro AP Comms Modules</t>
  </si>
  <si>
    <t>Micro AP Comms Modules - replacement</t>
  </si>
  <si>
    <t>Labour installation costs - replacement</t>
  </si>
  <si>
    <t>Meters</t>
  </si>
  <si>
    <t>New Connections</t>
  </si>
  <si>
    <t>Cost per meter</t>
  </si>
  <si>
    <t>Meter replacement</t>
  </si>
  <si>
    <t>Meter Hardware - 420 (1ph 2e 1contactor)</t>
  </si>
  <si>
    <t>Installation cost</t>
  </si>
  <si>
    <t>Cost per installation</t>
  </si>
  <si>
    <t>Total New Connections</t>
  </si>
  <si>
    <t>Total Meter replacement</t>
  </si>
  <si>
    <t>Total Meters</t>
  </si>
  <si>
    <t>Hardware</t>
  </si>
  <si>
    <t>Actual</t>
  </si>
  <si>
    <t>Forecast</t>
  </si>
  <si>
    <t>Volumes</t>
  </si>
  <si>
    <t>Average</t>
  </si>
  <si>
    <t>De-Energisation - Manual</t>
  </si>
  <si>
    <t>De-Energisation - Remote</t>
  </si>
  <si>
    <t>Re-Energisation - Manual</t>
  </si>
  <si>
    <t>Re-Energisation - Remote</t>
  </si>
  <si>
    <t>Special Read - Manual</t>
  </si>
  <si>
    <t>Special Read - Remote</t>
  </si>
  <si>
    <t>Meter Re-configuration - Manual</t>
  </si>
  <si>
    <t>Meter Re-configuration - Remote</t>
  </si>
  <si>
    <t>USD Exchange Rate =</t>
  </si>
  <si>
    <t xml:space="preserve">Comms infrastructure maintenance </t>
  </si>
  <si>
    <t>Comments</t>
  </si>
  <si>
    <t xml:space="preserve">IT maintenance &amp; support </t>
  </si>
  <si>
    <t>MDMS Tech Analysts</t>
  </si>
  <si>
    <t>Volume</t>
  </si>
  <si>
    <t>ACMA Radio Licences</t>
  </si>
  <si>
    <t>Cost $</t>
  </si>
  <si>
    <t>24/7 AMI Systems &amp; Network Support - Period 1 &amp; 2</t>
  </si>
  <si>
    <t>FTE</t>
  </si>
  <si>
    <t>IT maintenance &amp; support (excluding MMS &amp; UIQ)</t>
  </si>
  <si>
    <t>Comms infrastructure maintenance (excluding MMS)</t>
  </si>
  <si>
    <t xml:space="preserve">Meter Hardware </t>
  </si>
  <si>
    <t>Overheads</t>
  </si>
  <si>
    <t># FTE's</t>
  </si>
  <si>
    <t>01/01 -31/12</t>
  </si>
  <si>
    <t>01/01 -30/06</t>
  </si>
  <si>
    <t xml:space="preserve">30/06 -31/12 </t>
  </si>
  <si>
    <t>Team Leaders</t>
  </si>
  <si>
    <t>MCFO Resources</t>
  </si>
  <si>
    <t>Despatch</t>
  </si>
  <si>
    <t>Assumptions</t>
  </si>
  <si>
    <t>All NMI's logically converted by 31/12/16</t>
  </si>
  <si>
    <t>There will be an increase in check reads and issues requiring additional support after logical conversion completed for first half of 2017.</t>
  </si>
  <si>
    <t>FY16 Budget:</t>
  </si>
  <si>
    <t>Costs</t>
  </si>
  <si>
    <t>Total FTE's</t>
  </si>
  <si>
    <t>Meter Asset Management - Back Office</t>
  </si>
  <si>
    <t>Cost Centre 7999 - ALL OHD</t>
  </si>
  <si>
    <t>Fte's</t>
  </si>
  <si>
    <t>Costs driven by FTE not by number of tests performed.</t>
  </si>
  <si>
    <t>Total Budget</t>
  </si>
  <si>
    <t>Unit Rate:</t>
  </si>
  <si>
    <t>Per person Per Annum (Includes, labour, oncosts, travel, vehicles, training &amp; admin costs)</t>
  </si>
  <si>
    <t>Meter Asset Management - Field Services</t>
  </si>
  <si>
    <t>Cost Centre 9161 - ALL 503</t>
  </si>
  <si>
    <t>Total Budget excluding stretch targets</t>
  </si>
  <si>
    <t>Per person Per Annum (Includes, labour, oncosts, travel, vehicles, training, tools, materials, PPE &amp; admin costs)</t>
  </si>
  <si>
    <t>Total Meter Asset Management</t>
  </si>
  <si>
    <t>OHD</t>
  </si>
  <si>
    <t>Meter Type</t>
  </si>
  <si>
    <t>Installation Year</t>
  </si>
  <si>
    <t>Action</t>
  </si>
  <si>
    <t>400 or new equivalent</t>
  </si>
  <si>
    <t>410 or new equivalent</t>
  </si>
  <si>
    <t xml:space="preserve">Total </t>
  </si>
  <si>
    <t>2013 (Actual)</t>
  </si>
  <si>
    <t>New Connection</t>
  </si>
  <si>
    <t>Abolishment</t>
  </si>
  <si>
    <t>2014 (Actual)</t>
  </si>
  <si>
    <t>2015 (Forecast)</t>
  </si>
  <si>
    <t>2016 (Forecast)</t>
  </si>
  <si>
    <t>2017 (Forecast)</t>
  </si>
  <si>
    <t>2018 (Forecast)</t>
  </si>
  <si>
    <t>2019 (Forecast)</t>
  </si>
  <si>
    <t>2020 (Forecast)</t>
  </si>
  <si>
    <t>PMO</t>
  </si>
  <si>
    <t>Allocation to Metering (based on ABC survey)</t>
  </si>
  <si>
    <t>Allocation to Electricity Distribution (based on ABC survey)</t>
  </si>
  <si>
    <t>Allocation to Unregulated Distribution (based on ABC survey)</t>
  </si>
  <si>
    <t>Cyclic</t>
  </si>
  <si>
    <t>Special</t>
  </si>
  <si>
    <t>Admin</t>
  </si>
  <si>
    <t>Mgt</t>
  </si>
  <si>
    <t>20% reduction in # of Cyclic Readers due to assumption that logical conversion will not impact cyclic readers until late in 2016 and due to dispersement of reads, route efficiencies will have been established.</t>
  </si>
  <si>
    <t>2017-2020</t>
  </si>
  <si>
    <t>70% of "Special Reads" are de-en/re-en's and 100% of these will be successful.</t>
  </si>
  <si>
    <t>1% of sites will not have a smart meter due to unecconomical reasons, thus requiring a manual read</t>
  </si>
  <si>
    <t># of Working Days</t>
  </si>
  <si>
    <t>CYCLIC</t>
  </si>
  <si>
    <t>YTD</t>
  </si>
  <si>
    <t>AVG</t>
  </si>
  <si>
    <t>Number of No Reads</t>
  </si>
  <si>
    <t>Quarterly</t>
  </si>
  <si>
    <t>Total Number of Reads</t>
  </si>
  <si>
    <t>Monthly</t>
  </si>
  <si>
    <t>TOTAL</t>
  </si>
  <si>
    <t># of FTE's (Metro)</t>
  </si>
  <si>
    <t># of FTE's (Rural)</t>
  </si>
  <si>
    <t>SPECIAL</t>
  </si>
  <si>
    <t>Current Yr</t>
  </si>
  <si>
    <t># of FTE's</t>
  </si>
  <si>
    <t>TOTAL FTE's</t>
  </si>
  <si>
    <t>Assumptions/Planning Constants</t>
  </si>
  <si>
    <t>Forecasts</t>
  </si>
  <si>
    <t># of Working Calandar Days / Month</t>
  </si>
  <si>
    <t># of Annual Leave Days/Month</t>
  </si>
  <si>
    <t>Reads/Month</t>
  </si>
  <si>
    <t># of Sick Days/Month</t>
  </si>
  <si>
    <t>FTE's post 30/06/17</t>
  </si>
  <si>
    <t># of Actual Workings Day/Month</t>
  </si>
  <si>
    <t>Avg. Special Reads/Month</t>
  </si>
  <si>
    <t># of Special Reads/ Day</t>
  </si>
  <si>
    <t>Approx. 70% are re-ens/de-ens</t>
  </si>
  <si>
    <t># of Cyclic Reads/Day (Metro)</t>
  </si>
  <si>
    <t># of Special Reads required/Month post remote re-ens/de-ens</t>
  </si>
  <si>
    <t># of Cyclic Reads/Day (Rural)</t>
  </si>
  <si>
    <t># of Cyclic Reads/Day (unecconomical)</t>
  </si>
  <si>
    <t>% of Metro Jobs</t>
  </si>
  <si>
    <t>% of Rural Jobs</t>
  </si>
  <si>
    <t>As at April '15</t>
  </si>
  <si>
    <t># of Team Leaders</t>
  </si>
  <si>
    <t># of Cyclic Readers</t>
  </si>
  <si>
    <t># of Special Readers</t>
  </si>
  <si>
    <t># of MCFO's</t>
  </si>
  <si>
    <t>% Split</t>
  </si>
  <si>
    <t>Division</t>
  </si>
  <si>
    <t>Type</t>
  </si>
  <si>
    <t>Calc.</t>
  </si>
  <si>
    <t>Act.</t>
  </si>
  <si>
    <t>Bairnsdale</t>
  </si>
  <si>
    <t>Rural</t>
  </si>
  <si>
    <t>Beaconsfield</t>
  </si>
  <si>
    <t>Metro</t>
  </si>
  <si>
    <t>Benalla</t>
  </si>
  <si>
    <t>Lilydale</t>
  </si>
  <si>
    <t>Sth Morang</t>
  </si>
  <si>
    <t>Traralgon</t>
  </si>
  <si>
    <t>Wodonga</t>
  </si>
  <si>
    <t>Wonthaggi</t>
  </si>
  <si>
    <t>Sub Total</t>
  </si>
  <si>
    <t>Notes</t>
  </si>
  <si>
    <t>0.8 Operations Manager + 0.2 Meter Reading Manager</t>
  </si>
  <si>
    <t>1 reporting/invoicing + 1 administrator/process/procedures/vehicles etc</t>
  </si>
  <si>
    <t>Issuing of Service Orders from retailers and internal Service Orders</t>
  </si>
  <si>
    <t>Life to Date (March 2015)</t>
  </si>
  <si>
    <t>Date Issued</t>
  </si>
  <si>
    <t>%</t>
  </si>
  <si>
    <t>BDL</t>
  </si>
  <si>
    <t>BEN</t>
  </si>
  <si>
    <t>BFD</t>
  </si>
  <si>
    <t>LDL</t>
  </si>
  <si>
    <t>LEO</t>
  </si>
  <si>
    <t>SEY</t>
  </si>
  <si>
    <t>SMG</t>
  </si>
  <si>
    <t>TGN</t>
  </si>
  <si>
    <t>WOD</t>
  </si>
  <si>
    <t>Monthly Summary</t>
  </si>
  <si>
    <t>Total/Month</t>
  </si>
  <si>
    <t>Average/Month</t>
  </si>
  <si>
    <t>These "fault" jobs are based on a total of 440K logically converted sites.</t>
  </si>
  <si>
    <t>Avg # of Jobs/person/day</t>
  </si>
  <si>
    <t>% of LC'd sites that generate MCFO "fault" jobs are:</t>
  </si>
  <si>
    <t>If 700,000 logically converted by 31/12/16, then</t>
  </si>
  <si>
    <t>total fault jobs expected in 2017</t>
  </si>
  <si>
    <t>Total Jobs/Year</t>
  </si>
  <si>
    <t>Total Jobs/Month</t>
  </si>
  <si>
    <t>700,000 Meters as at 01/01/17</t>
  </si>
  <si>
    <t>20K New Conns/Ads/Alts each Year</t>
  </si>
  <si>
    <t>There is no change to the current resourcing structure nor work profile, i.e. it will remain as it has for past 12 months.  Any growth in 2015 (New Conns/Adds/Alts) will be counter acted by proposed planned 20K logical conversions to take place in 2015.</t>
  </si>
  <si>
    <t>Mesh Software and Maintenance Support</t>
  </si>
  <si>
    <t>SaaS test environments</t>
  </si>
  <si>
    <t>Based on 1% failure rate per annum of 47000 MAP</t>
  </si>
  <si>
    <t>This is based on the ration of 1 MAP for every 6 new Connections</t>
  </si>
  <si>
    <t xml:space="preserve">IT maintenance &amp; support (UIQ) </t>
  </si>
  <si>
    <t xml:space="preserve">IT maintenance &amp; support (MMS) </t>
  </si>
  <si>
    <t>Comms infrastructure maintenance (MMS &amp; UIQ)</t>
  </si>
  <si>
    <t>Notes:</t>
  </si>
  <si>
    <t>Costs based on agreement with SSN</t>
  </si>
  <si>
    <t>MMS (PolicyNet) - minor enhancements</t>
  </si>
  <si>
    <t>Based on contract rate and FX assumptions</t>
  </si>
  <si>
    <t>Based on labour rate per Category Analysis</t>
  </si>
  <si>
    <t>Date</t>
  </si>
  <si>
    <t>Year</t>
  </si>
  <si>
    <t>Month</t>
  </si>
  <si>
    <t>Payment Date</t>
  </si>
  <si>
    <t>Inv No.</t>
  </si>
  <si>
    <t>Oracle PO #</t>
  </si>
  <si>
    <t>CIS Code</t>
  </si>
  <si>
    <t>Delivered to</t>
  </si>
  <si>
    <t>Mtr Qty</t>
  </si>
  <si>
    <t>Comms Qty</t>
  </si>
  <si>
    <t>USD Price</t>
  </si>
  <si>
    <t>AUD Price</t>
  </si>
  <si>
    <t>USD Amount</t>
  </si>
  <si>
    <t>USD Amount           (incl GST)</t>
  </si>
  <si>
    <t>Hedged     FX Rate</t>
  </si>
  <si>
    <t>GST                         FX Rate</t>
  </si>
  <si>
    <t>AUD Amount</t>
  </si>
  <si>
    <t>AUD Amount - GST</t>
  </si>
  <si>
    <t>AUD Amount                      (Incl GST)</t>
  </si>
  <si>
    <t>DELIVERY ORDERS</t>
  </si>
  <si>
    <t>REMARK</t>
  </si>
  <si>
    <t>M5</t>
  </si>
  <si>
    <r>
      <t xml:space="preserve">Replacements </t>
    </r>
    <r>
      <rPr>
        <sz val="11"/>
        <color theme="1"/>
        <rFont val="Calibri"/>
        <family val="2"/>
        <scheme val="minor"/>
      </rPr>
      <t>(Meter Installed for Adds/Alts &amp; Faults)</t>
    </r>
  </si>
  <si>
    <t>400</t>
  </si>
  <si>
    <t>410</t>
  </si>
  <si>
    <t>420</t>
  </si>
  <si>
    <t>430</t>
  </si>
  <si>
    <t>450</t>
  </si>
  <si>
    <t>Total AMI Meters</t>
  </si>
  <si>
    <t>End of Year Volumes</t>
  </si>
  <si>
    <t>CY 2015</t>
  </si>
  <si>
    <t>CY 2016</t>
  </si>
  <si>
    <t>CY 2017</t>
  </si>
  <si>
    <t>CY 2018</t>
  </si>
  <si>
    <t>CY 2019</t>
  </si>
  <si>
    <t>CY 2020</t>
  </si>
  <si>
    <t>Real $2014</t>
  </si>
  <si>
    <t>Real $2015</t>
  </si>
  <si>
    <t>CY14</t>
  </si>
  <si>
    <t>Capex (combined EDPR and Metering)</t>
  </si>
  <si>
    <t>CAPEX</t>
  </si>
  <si>
    <t xml:space="preserve">Meters (including WiMAX comms card) </t>
  </si>
  <si>
    <t>IT - MMS (PolicyNet)</t>
  </si>
  <si>
    <t>IT - excluding MMS</t>
  </si>
  <si>
    <t>Communications infrastructure - WiMAX</t>
  </si>
  <si>
    <t>Total Capex (Metering)</t>
  </si>
  <si>
    <t>OPEX</t>
  </si>
  <si>
    <t>Meter reading - to be excluded (manual reads)</t>
  </si>
  <si>
    <t>Meter reading</t>
  </si>
  <si>
    <t>Meter data management</t>
  </si>
  <si>
    <t>Meter maintenance</t>
  </si>
  <si>
    <t>Metering management</t>
  </si>
  <si>
    <t>IT &amp; communications maintenance and support</t>
  </si>
  <si>
    <t xml:space="preserve">IT maintenance &amp; support (MMS - PolicyNet) </t>
  </si>
  <si>
    <t xml:space="preserve">Metering management </t>
  </si>
  <si>
    <t>Comms infrastructure maintenance (UIQ &amp; MMS - PolicyNet)</t>
  </si>
  <si>
    <t>Comms infrastructure maintenance (total)</t>
  </si>
  <si>
    <t>Customer Services Cost</t>
  </si>
  <si>
    <t>Total Opex</t>
  </si>
  <si>
    <t>Total Capex</t>
  </si>
  <si>
    <t>Included in Metering</t>
  </si>
  <si>
    <t>Task</t>
  </si>
  <si>
    <t>CY2015</t>
  </si>
  <si>
    <t>FTE (approx)</t>
  </si>
  <si>
    <t>CY2016</t>
  </si>
  <si>
    <t>CY2017</t>
  </si>
  <si>
    <t>CY2018</t>
  </si>
  <si>
    <t>CY2019</t>
  </si>
  <si>
    <t>CY2020</t>
  </si>
  <si>
    <t>Data Services (Market Data)</t>
  </si>
  <si>
    <t>Data Services (Metering Ops)</t>
  </si>
  <si>
    <t>Data Integrity</t>
  </si>
  <si>
    <t>Remote Services (manual)</t>
  </si>
  <si>
    <t>Remote Services (auto)</t>
  </si>
  <si>
    <t>Management (data)</t>
  </si>
  <si>
    <t>Management (field and asset)</t>
  </si>
  <si>
    <t>Compliance and Reg Engagement &amp; Projects</t>
  </si>
  <si>
    <t>Testing</t>
  </si>
  <si>
    <t>TOTAL (excl. manual remote)</t>
  </si>
  <si>
    <t>TOTAL (excl. all remote)</t>
  </si>
  <si>
    <t xml:space="preserve">Metering Ops staff have operational and project roles, allocation changes over the CY's, operational increasing as AMI, mesh roll out and contestability completed. </t>
  </si>
  <si>
    <t>Assumes no costs for contestability</t>
  </si>
  <si>
    <t>Support costs</t>
  </si>
  <si>
    <t>IT &amp; Communications Opex Forecast</t>
  </si>
  <si>
    <t>$2015</t>
  </si>
  <si>
    <t>Logical conversion completed by end 2016</t>
  </si>
  <si>
    <t xml:space="preserve">Does provide Metering Ops costs for minor regulatory change, industry engagement and training </t>
  </si>
  <si>
    <t>Including testing costs to support ongoing BAU releases (defects, industry changes), excludes costs associate with major programs, for example AMI and contestability.  Only include UAT.</t>
  </si>
  <si>
    <t xml:space="preserve">Due to distance, 1 resource will be required to read the unnecconomical sites in each of the rural divisions (5 in total).  </t>
  </si>
  <si>
    <t>2 TL's required to manage large geographical spread (North and East), however in 1st half of 2017, this will not completely reduce to allow for higher error rates once AMI stabilisation is completed.</t>
  </si>
  <si>
    <t>It is assumed that in the first half of 2017, double the resources will be required (based on projection for 2017 onwards) due to higher error rate after completion of AMI stabilisation and assumed fault rates of Mesh Network).</t>
  </si>
  <si>
    <t>Assumed Mesh Fault Rate of 0.5%</t>
  </si>
  <si>
    <t>20K new connection growth per annum (including adds/alts)</t>
  </si>
  <si>
    <t>Included in EDPR opex as distribution network related</t>
  </si>
  <si>
    <t>In the CY14 Regulatory Accounts, a portion of meter maintenance was classified under meter reading and meter data management. The forecasts for CY15 - CY20 have been prepared on the appropriate classification basis.</t>
  </si>
  <si>
    <t>Opex (combined EDPR and Metering)</t>
  </si>
  <si>
    <t>Total Opex (Metering)</t>
  </si>
  <si>
    <t>Total Capex (EDPR)</t>
  </si>
  <si>
    <t>Total Opex (EDPR)</t>
  </si>
  <si>
    <t xml:space="preserve">Meter reading </t>
  </si>
  <si>
    <t>High level description of model</t>
  </si>
  <si>
    <t>Description of sheets in model</t>
  </si>
  <si>
    <t>Sheet Name</t>
  </si>
  <si>
    <t>Description</t>
  </si>
  <si>
    <t>The model details the cost build up of each of the capex and opex line items for CY2015 - CY2020, in real $2015.</t>
  </si>
  <si>
    <t>Summary</t>
  </si>
  <si>
    <t>Lists the capex and opex line items</t>
  </si>
  <si>
    <t>Calc</t>
  </si>
  <si>
    <t>Vol special meter read</t>
  </si>
  <si>
    <t>Details the cost and volume forecasts for capex items</t>
  </si>
  <si>
    <t>LG Invoices list</t>
  </si>
  <si>
    <t>Latest contract price of meters</t>
  </si>
  <si>
    <t>Meter replacement volume</t>
  </si>
  <si>
    <t>New connections</t>
  </si>
  <si>
    <t>IT &amp; Comms opex</t>
  </si>
  <si>
    <t>SUMMARY MR</t>
  </si>
  <si>
    <t>Actuals + Forecasts</t>
  </si>
  <si>
    <t>Resources</t>
  </si>
  <si>
    <t>MCFO Work</t>
  </si>
  <si>
    <t>Meter Asset Management</t>
  </si>
  <si>
    <t>Lists meter replacement volumes by meter types</t>
  </si>
  <si>
    <t>Lists the volume forecast of remote services</t>
  </si>
  <si>
    <t>Lists new connections volumes by meter types</t>
  </si>
  <si>
    <t>Lists the cost build up of IT &amp; Comms opex</t>
  </si>
  <si>
    <t>Lists the cost build up of meter data management</t>
  </si>
  <si>
    <t>Details the cost build up of meter reading</t>
  </si>
  <si>
    <t>Details the number of FTEs required and the assumptions used</t>
  </si>
  <si>
    <t>Details the resources required by regions for meter reading and communications fault work</t>
  </si>
  <si>
    <t>Details the volume of communications module fault in the past and assumptions used for the forecast period</t>
  </si>
  <si>
    <t>Details the number of cyclic and special readers FTEs required and the assumptions used for the forecast period</t>
  </si>
  <si>
    <t>Details the number of FTEs required and the assumptions used for meter maintenance work</t>
  </si>
  <si>
    <t>ORIGINAL PROPOSAL</t>
  </si>
  <si>
    <t>DIFFERENCE</t>
  </si>
  <si>
    <t>REVISED PROPOSAL</t>
  </si>
  <si>
    <t xml:space="preserve">Based on Preliminary Decision </t>
  </si>
  <si>
    <t>Meters (including communications card)</t>
  </si>
  <si>
    <t>Comms card fault replacement</t>
  </si>
  <si>
    <t>A$ nominal</t>
  </si>
  <si>
    <t>US$ nominal</t>
  </si>
  <si>
    <t>A$ real $2015</t>
  </si>
  <si>
    <t>Based on updated contract</t>
  </si>
  <si>
    <t>Communications cards required to be replaced about 70% of the time</t>
  </si>
  <si>
    <t>Revised total forecast</t>
  </si>
  <si>
    <t xml:space="preserve">Communications infrastructure </t>
  </si>
  <si>
    <t xml:space="preserve">Hedged FX rate </t>
  </si>
  <si>
    <t>IT</t>
  </si>
  <si>
    <t>Comms (Micro APs)</t>
  </si>
  <si>
    <t>In DUoS</t>
  </si>
  <si>
    <t>Mesh card and antenna</t>
  </si>
  <si>
    <t>Comms infrastructure (relays, access points)</t>
  </si>
  <si>
    <t>New connection installation cost</t>
  </si>
  <si>
    <t>Mesh card and antenna - additional for faults</t>
  </si>
  <si>
    <t>Exchange rate difference</t>
  </si>
  <si>
    <t>Original EDPR</t>
  </si>
  <si>
    <t>Price increase</t>
  </si>
  <si>
    <t>Comms card fault replacement - labour</t>
  </si>
  <si>
    <t>Contract price increase</t>
  </si>
  <si>
    <t>Based on the costs being approximately 3/4 of the time to do a meter replacement. As these comms module replacement will be scattered across the network, more travel time is required between sites.</t>
  </si>
  <si>
    <t>WiMAX Comms Card Faults</t>
  </si>
  <si>
    <t>Annual Failure Rate</t>
  </si>
  <si>
    <t>Installed LC Pop.</t>
  </si>
  <si>
    <t>Av. Age (yrs)</t>
  </si>
  <si>
    <t>Mesh Comms Card Faults</t>
  </si>
  <si>
    <t>New Cons</t>
  </si>
  <si>
    <t>Highest Monthly</t>
  </si>
  <si>
    <t xml:space="preserve">Table 1.2:  Historical communication modules fault rates </t>
  </si>
  <si>
    <t>Highest fault rate in a month (annualised)</t>
  </si>
  <si>
    <t>Average annual fault rate</t>
  </si>
  <si>
    <t>Total (non-MMS)</t>
  </si>
  <si>
    <t>Total (MMS)</t>
  </si>
  <si>
    <t>Comms card - replacement (3G replacement)</t>
  </si>
  <si>
    <t>Comms card - replacement (for in-fill)</t>
  </si>
  <si>
    <t>Comms card - replacement (WiMAX replacement)</t>
  </si>
  <si>
    <t>no further installation cost as Comms card installed together with meter</t>
  </si>
  <si>
    <t>Cost per Comms card</t>
  </si>
  <si>
    <t>Comms card - meter replacement</t>
  </si>
  <si>
    <t>Comms antenna - new connections</t>
  </si>
  <si>
    <t>no further installation cost as Comms antenna installed together with Comms card</t>
  </si>
  <si>
    <t>Cost per Comms antenna</t>
  </si>
  <si>
    <t>Comms antenna - meter replacement</t>
  </si>
  <si>
    <t>Comms antenna - comms card fault replacement</t>
  </si>
  <si>
    <t>Total Comms costs</t>
  </si>
  <si>
    <t>Comms Comms cards</t>
  </si>
  <si>
    <t>Comms card - new connections</t>
  </si>
  <si>
    <t>Contract analysis</t>
  </si>
  <si>
    <t>Exchange rate</t>
  </si>
  <si>
    <t>Comms &amp; IT - Longer on existing comms technology</t>
  </si>
  <si>
    <t>Longer on existing comms technology</t>
  </si>
  <si>
    <t>Meters (including comms cards)</t>
  </si>
  <si>
    <t xml:space="preserve">Current cost in AUD with original Exchange rate of 0.88 </t>
  </si>
  <si>
    <t>Additional FTE from Initial Proposal</t>
  </si>
  <si>
    <t>Forecast Customer  Numbers</t>
  </si>
  <si>
    <t xml:space="preserve">Single phase single element </t>
  </si>
  <si>
    <t>Single phase two element with contactor</t>
  </si>
  <si>
    <t xml:space="preserve">Multiphase </t>
  </si>
  <si>
    <t>Multiphase with contactor</t>
  </si>
  <si>
    <t>Multiphase CT connected</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</si>
</sst>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0;[Red]\-&quot;$&quot;#,##0"/>
    <numFmt numFmtId="44" formatCode="_-&quot;$&quot;* #,##0.00_-;\-&quot;$&quot;* #,##0.00_-;_-&quot;$&quot;* &quot;-&quot;??_-;_-@_-"/>
    <numFmt numFmtId="43" formatCode="_-* #,##0.00_-;\-* #,##0.00_-;_-* &quot;-&quot;??_-;_-@_-"/>
    <numFmt numFmtId="164" formatCode="_(* #,##0.00_);_(* \(#,##0.00\);_(* &quot;-&quot;??_);_(@_)"/>
    <numFmt numFmtId="165" formatCode="_-* #,##0_-;\-* #,##0_-;_-* &quot;-&quot;??_-;_-@_-"/>
    <numFmt numFmtId="166" formatCode="_(#,##0.0_);\(#,##0.0\);_(&quot;-&quot;_)"/>
    <numFmt numFmtId="167" formatCode="_(* #,##0_);_(* \(#,##0\);_(* &quot;-&quot;??_);_(@_)"/>
    <numFmt numFmtId="168" formatCode="_-&quot;$&quot;* #,##0_-;\-&quot;$&quot;* #,##0_-;_-&quot;$&quot;* &quot;-&quot;??_-;_-@_-"/>
    <numFmt numFmtId="169" formatCode="0.0"/>
    <numFmt numFmtId="170" formatCode="[$-C09]dd\-mmm\-yy;@"/>
    <numFmt numFmtId="171" formatCode="d\ mmm\ yy"/>
    <numFmt numFmtId="172" formatCode="_-* #,##0.000_-;\-* #,##0.000_-;_-* &quot;-&quot;??_-;_-@_-"/>
    <numFmt numFmtId="173" formatCode="_(* #,##0.0_);_(* \(#,##0.0\);_(* &quot;-&quot;??_);_(@_)"/>
    <numFmt numFmtId="174" formatCode="0.000"/>
    <numFmt numFmtId="175" formatCode="0.0%"/>
  </numFmts>
  <fonts count="63" x14ac:knownFonts="1">
    <font>
      <sz val="11"/>
      <color theme="1"/>
      <name val="Calibri"/>
      <family val="2"/>
      <scheme val="minor"/>
    </font>
    <font>
      <sz val="11"/>
      <color theme="1"/>
      <name val="Calibri"/>
      <family val="2"/>
      <scheme val="minor"/>
    </font>
    <font>
      <b/>
      <u/>
      <sz val="8"/>
      <color indexed="56"/>
      <name val="Arial"/>
      <family val="2"/>
    </font>
    <font>
      <sz val="8"/>
      <name val="Arial"/>
      <family val="2"/>
    </font>
    <font>
      <b/>
      <sz val="9"/>
      <color indexed="81"/>
      <name val="Tahoma"/>
      <family val="2"/>
    </font>
    <font>
      <sz val="9"/>
      <color indexed="81"/>
      <name val="Tahoma"/>
      <family val="2"/>
    </font>
    <font>
      <sz val="1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sz val="10"/>
      <name val="MS Sans Serif"/>
      <family val="2"/>
    </font>
    <font>
      <b/>
      <sz val="12"/>
      <color theme="1"/>
      <name val="Calibri"/>
      <family val="2"/>
      <scheme val="minor"/>
    </font>
    <font>
      <b/>
      <u/>
      <sz val="11"/>
      <color rgb="FF000000"/>
      <name val="Calibri"/>
      <family val="2"/>
    </font>
    <font>
      <b/>
      <sz val="11"/>
      <name val="Calibri"/>
      <family val="2"/>
    </font>
    <font>
      <sz val="11"/>
      <color theme="1"/>
      <name val="Calibri"/>
      <family val="2"/>
    </font>
    <font>
      <sz val="11"/>
      <name val="Calibri"/>
      <family val="2"/>
    </font>
    <font>
      <b/>
      <sz val="11"/>
      <color rgb="FFFF0000"/>
      <name val="Calibri"/>
      <family val="2"/>
      <scheme val="minor"/>
    </font>
    <font>
      <u/>
      <sz val="11"/>
      <color theme="1"/>
      <name val="Calibri"/>
      <family val="2"/>
      <scheme val="minor"/>
    </font>
    <font>
      <sz val="11"/>
      <color rgb="FF1F497D"/>
      <name val="Calibri"/>
      <family val="2"/>
      <scheme val="minor"/>
    </font>
    <font>
      <sz val="10"/>
      <color theme="1"/>
      <name val="Times New Roman"/>
      <family val="1"/>
    </font>
    <font>
      <sz val="11"/>
      <color theme="1"/>
      <name val="Times New Roman"/>
      <family val="1"/>
    </font>
    <font>
      <b/>
      <sz val="10"/>
      <color rgb="FF002060"/>
      <name val="Cambria"/>
      <family val="1"/>
    </font>
    <font>
      <sz val="9"/>
      <color rgb="FF000000"/>
      <name val="Calibri"/>
      <family val="2"/>
    </font>
    <font>
      <b/>
      <i/>
      <sz val="10"/>
      <name val="Arial"/>
      <family val="2"/>
    </font>
    <font>
      <b/>
      <sz val="10"/>
      <name val="Arial"/>
      <family val="2"/>
    </font>
    <font>
      <sz val="10"/>
      <name val="Arial"/>
      <family val="2"/>
    </font>
    <font>
      <b/>
      <sz val="10"/>
      <color indexed="9"/>
      <name val="Arial"/>
      <family val="2"/>
    </font>
    <font>
      <sz val="10"/>
      <color rgb="FFFF0000"/>
      <name val="Arial"/>
      <family val="2"/>
    </font>
    <font>
      <sz val="11"/>
      <color indexed="8"/>
      <name val="Calibri"/>
      <family val="2"/>
    </font>
    <font>
      <sz val="10"/>
      <color theme="1"/>
      <name val="Arial"/>
      <family val="2"/>
    </font>
    <font>
      <b/>
      <sz val="8"/>
      <color indexed="81"/>
      <name val="Tahoma"/>
      <family val="2"/>
    </font>
    <font>
      <sz val="8"/>
      <color indexed="81"/>
      <name val="Tahoma"/>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color theme="1"/>
      <name val="Calibri"/>
      <family val="2"/>
      <scheme val="minor"/>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11"/>
      <color rgb="FF000000"/>
      <name val="Calibri"/>
      <family val="2"/>
    </font>
    <font>
      <b/>
      <sz val="11"/>
      <color rgb="FF000000"/>
      <name val="Calibri"/>
      <family val="2"/>
    </font>
    <font>
      <b/>
      <sz val="11"/>
      <color theme="1"/>
      <name val="Calibri"/>
      <family val="2"/>
    </font>
    <font>
      <sz val="9"/>
      <color rgb="FF000000"/>
      <name val="Tahoma"/>
      <family val="2"/>
    </font>
    <font>
      <sz val="10"/>
      <name val="Tahoma"/>
      <family val="2"/>
    </font>
    <font>
      <sz val="10"/>
      <color theme="1"/>
      <name val="Arial Narrow"/>
      <family val="2"/>
    </font>
    <font>
      <b/>
      <sz val="12"/>
      <color theme="1"/>
      <name val="Arial Narrow"/>
      <family val="2"/>
    </font>
    <font>
      <b/>
      <sz val="10"/>
      <color theme="1"/>
      <name val="Arial Narrow"/>
      <family val="2"/>
    </font>
    <font>
      <sz val="11"/>
      <color rgb="FFFF0000"/>
      <name val="Calibri"/>
      <family val="2"/>
      <scheme val="minor"/>
    </font>
    <font>
      <b/>
      <sz val="9"/>
      <color rgb="FF000000"/>
      <name val="Tahoma"/>
      <family val="2"/>
    </font>
    <font>
      <sz val="11"/>
      <color rgb="FF000000"/>
      <name val="Calibri"/>
      <family val="2"/>
    </font>
    <font>
      <sz val="11"/>
      <color rgb="FF006100"/>
      <name val="Calibri"/>
      <family val="2"/>
      <scheme val="minor"/>
    </font>
    <font>
      <sz val="11"/>
      <color theme="0"/>
      <name val="Calibri"/>
      <family val="2"/>
      <scheme val="minor"/>
    </font>
    <font>
      <b/>
      <sz val="11"/>
      <name val="Calibri"/>
      <family val="2"/>
      <scheme val="minor"/>
    </font>
  </fonts>
  <fills count="53">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mediumGray">
        <fgColor indexed="22"/>
      </patternFill>
    </fill>
    <fill>
      <patternFill patternType="solid">
        <fgColor rgb="FFFFC0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92D050"/>
        <bgColor indexed="64"/>
      </patternFill>
    </fill>
    <fill>
      <patternFill patternType="solid">
        <fgColor theme="6" tint="0.59999389629810485"/>
        <bgColor indexed="64"/>
      </patternFill>
    </fill>
    <fill>
      <patternFill patternType="solid">
        <fgColor rgb="FF00B0F0"/>
        <bgColor indexed="64"/>
      </patternFill>
    </fill>
    <fill>
      <patternFill patternType="solid">
        <fgColor theme="3" tint="0.59999389629810485"/>
        <bgColor indexed="64"/>
      </patternFill>
    </fill>
    <fill>
      <patternFill patternType="solid">
        <fgColor rgb="FFBFBFBF"/>
        <bgColor indexed="64"/>
      </patternFill>
    </fill>
    <fill>
      <patternFill patternType="solid">
        <fgColor rgb="FFFDE9D9"/>
        <bgColor indexed="64"/>
      </patternFill>
    </fill>
    <fill>
      <patternFill patternType="solid">
        <fgColor theme="8" tint="0.79998168889431442"/>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indexed="62"/>
        <bgColor indexed="64"/>
      </patternFill>
    </fill>
    <fill>
      <patternFill patternType="solid">
        <fgColor indexed="44"/>
        <bgColor indexed="64"/>
      </patternFill>
    </fill>
    <fill>
      <patternFill patternType="solid">
        <fgColor rgb="FFFF5050"/>
        <bgColor indexed="64"/>
      </patternFill>
    </fill>
    <fill>
      <patternFill patternType="solid">
        <fgColor indexed="42"/>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rgb="FF000000"/>
      </patternFill>
    </fill>
    <fill>
      <patternFill patternType="solid">
        <fgColor theme="4" tint="0.39997558519241921"/>
        <bgColor indexed="64"/>
      </patternFill>
    </fill>
    <fill>
      <patternFill patternType="solid">
        <fgColor theme="3" tint="0.79998168889431442"/>
        <bgColor indexed="64"/>
      </patternFill>
    </fill>
    <fill>
      <patternFill patternType="solid">
        <fgColor rgb="FFC6EFCE"/>
      </patternFill>
    </fill>
    <fill>
      <patternFill patternType="solid">
        <fgColor theme="9"/>
      </patternFill>
    </fill>
    <fill>
      <patternFill patternType="solid">
        <fgColor theme="6" tint="0.79998168889431442"/>
        <bgColor indexed="64"/>
      </patternFill>
    </fill>
    <fill>
      <patternFill patternType="solid">
        <fgColor theme="1"/>
        <bgColor indexed="64"/>
      </patternFill>
    </fill>
    <fill>
      <patternFill patternType="solid">
        <fgColor theme="1"/>
        <bgColor rgb="FF000000"/>
      </patternFill>
    </fill>
  </fills>
  <borders count="72">
    <border>
      <left/>
      <right/>
      <top/>
      <bottom/>
      <diagonal/>
    </border>
    <border>
      <left style="medium">
        <color indexed="18"/>
      </left>
      <right style="medium">
        <color indexed="18"/>
      </right>
      <top style="medium">
        <color indexed="18"/>
      </top>
      <bottom style="medium">
        <color indexed="1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9"/>
      </left>
      <right style="thin">
        <color indexed="9"/>
      </right>
      <top style="thin">
        <color indexed="9"/>
      </top>
      <bottom style="thin">
        <color indexed="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diagonal/>
    </border>
  </borders>
  <cellStyleXfs count="70">
    <xf numFmtId="0" fontId="0" fillId="0" borderId="0"/>
    <xf numFmtId="164" fontId="1" fillId="0" borderId="0" applyFont="0" applyFill="0" applyBorder="0" applyAlignment="0" applyProtection="0"/>
    <xf numFmtId="0" fontId="2" fillId="0" borderId="0" applyFill="0" applyBorder="0">
      <alignment horizontal="left" vertical="center"/>
      <protection locked="0"/>
    </xf>
    <xf numFmtId="0" fontId="3" fillId="0" borderId="0" applyNumberFormat="0" applyFont="0" applyFill="0" applyBorder="0">
      <alignment horizontal="center" vertical="center"/>
      <protection locked="0"/>
    </xf>
    <xf numFmtId="0" fontId="3" fillId="0" borderId="1">
      <alignment vertical="center"/>
      <protection locked="0"/>
    </xf>
    <xf numFmtId="0" fontId="3" fillId="0" borderId="0"/>
    <xf numFmtId="166" fontId="3" fillId="0" borderId="1">
      <alignment horizontal="right" vertical="center"/>
      <protection locked="0"/>
    </xf>
    <xf numFmtId="0" fontId="10" fillId="4" borderId="0" applyNumberFormat="0" applyFont="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0" fontId="25" fillId="0" borderId="0" applyFont="0"/>
    <xf numFmtId="43" fontId="25" fillId="0" borderId="0" applyFont="0" applyFill="0" applyBorder="0" applyAlignment="0" applyProtection="0"/>
    <xf numFmtId="0" fontId="28"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26" borderId="0" applyNumberFormat="0" applyBorder="0" applyAlignment="0" applyProtection="0"/>
    <xf numFmtId="0" fontId="28" fillId="29" borderId="0" applyNumberFormat="0" applyBorder="0" applyAlignment="0" applyProtection="0"/>
    <xf numFmtId="0" fontId="28" fillId="32" borderId="0" applyNumberFormat="0" applyBorder="0" applyAlignment="0" applyProtection="0"/>
    <xf numFmtId="0" fontId="32" fillId="33"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9"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40" borderId="0" applyNumberFormat="0" applyBorder="0" applyAlignment="0" applyProtection="0"/>
    <xf numFmtId="0" fontId="33" fillId="25" borderId="0" applyNumberFormat="0" applyBorder="0" applyAlignment="0" applyProtection="0"/>
    <xf numFmtId="0" fontId="34" fillId="41" borderId="55" applyNumberFormat="0" applyAlignment="0" applyProtection="0"/>
    <xf numFmtId="0" fontId="35" fillId="42" borderId="56" applyNumberFormat="0" applyAlignment="0" applyProtection="0"/>
    <xf numFmtId="43" fontId="25" fillId="0" borderId="0" applyFont="0" applyFill="0" applyBorder="0" applyAlignment="0" applyProtection="0"/>
    <xf numFmtId="43" fontId="1" fillId="0" borderId="0" applyFont="0" applyFill="0" applyBorder="0" applyAlignment="0" applyProtection="0"/>
    <xf numFmtId="44" fontId="25" fillId="0" borderId="0" applyFont="0" applyFill="0" applyBorder="0" applyAlignment="0" applyProtection="0"/>
    <xf numFmtId="44" fontId="36" fillId="0" borderId="0" applyFont="0" applyFill="0" applyBorder="0" applyAlignment="0" applyProtection="0"/>
    <xf numFmtId="0" fontId="37" fillId="0" borderId="0" applyNumberFormat="0" applyFill="0" applyBorder="0" applyAlignment="0" applyProtection="0"/>
    <xf numFmtId="0" fontId="38" fillId="23" borderId="0" applyNumberFormat="0" applyBorder="0" applyAlignment="0" applyProtection="0"/>
    <xf numFmtId="0" fontId="39" fillId="0" borderId="57" applyNumberFormat="0" applyFill="0" applyAlignment="0" applyProtection="0"/>
    <xf numFmtId="0" fontId="40" fillId="0" borderId="58" applyNumberFormat="0" applyFill="0" applyAlignment="0" applyProtection="0"/>
    <xf numFmtId="0" fontId="41" fillId="0" borderId="59" applyNumberFormat="0" applyFill="0" applyAlignment="0" applyProtection="0"/>
    <xf numFmtId="0" fontId="41" fillId="0" borderId="0" applyNumberFormat="0" applyFill="0" applyBorder="0" applyAlignment="0" applyProtection="0"/>
    <xf numFmtId="0" fontId="42" fillId="28" borderId="55" applyNumberFormat="0" applyAlignment="0" applyProtection="0"/>
    <xf numFmtId="0" fontId="43" fillId="0" borderId="60" applyNumberFormat="0" applyFill="0" applyAlignment="0" applyProtection="0"/>
    <xf numFmtId="0" fontId="44" fillId="43" borderId="0" applyNumberFormat="0" applyBorder="0" applyAlignment="0" applyProtection="0"/>
    <xf numFmtId="0" fontId="25" fillId="0" borderId="0"/>
    <xf numFmtId="0" fontId="1" fillId="0" borderId="0"/>
    <xf numFmtId="0" fontId="25" fillId="0" borderId="0"/>
    <xf numFmtId="0" fontId="1" fillId="0" borderId="0"/>
    <xf numFmtId="0" fontId="25" fillId="0" borderId="0"/>
    <xf numFmtId="0" fontId="36" fillId="0" borderId="0"/>
    <xf numFmtId="0" fontId="1" fillId="0" borderId="0"/>
    <xf numFmtId="0" fontId="25" fillId="44" borderId="61" applyNumberFormat="0" applyFont="0" applyAlignment="0" applyProtection="0"/>
    <xf numFmtId="0" fontId="45" fillId="41" borderId="62" applyNumberFormat="0" applyAlignment="0" applyProtection="0"/>
    <xf numFmtId="0" fontId="46" fillId="0" borderId="0" applyNumberFormat="0" applyFill="0" applyBorder="0" applyAlignment="0" applyProtection="0"/>
    <xf numFmtId="0" fontId="47" fillId="0" borderId="63" applyNumberFormat="0" applyFill="0" applyAlignment="0" applyProtection="0"/>
    <xf numFmtId="0" fontId="48" fillId="0" borderId="0" applyNumberFormat="0" applyFill="0" applyBorder="0" applyAlignment="0" applyProtection="0"/>
    <xf numFmtId="43" fontId="1" fillId="0" borderId="0" applyFont="0" applyFill="0" applyBorder="0" applyAlignment="0" applyProtection="0"/>
    <xf numFmtId="9" fontId="53" fillId="0" borderId="0" applyFont="0" applyFill="0" applyBorder="0" applyAlignment="0" applyProtection="0"/>
    <xf numFmtId="0" fontId="60" fillId="48" borderId="0" applyNumberFormat="0" applyBorder="0" applyAlignment="0" applyProtection="0"/>
    <xf numFmtId="0" fontId="61" fillId="49" borderId="0" applyNumberFormat="0" applyBorder="0" applyAlignment="0" applyProtection="0"/>
  </cellStyleXfs>
  <cellXfs count="634">
    <xf numFmtId="0" fontId="0" fillId="0" borderId="0" xfId="0"/>
    <xf numFmtId="0" fontId="0" fillId="0" borderId="0" xfId="0" applyFill="1"/>
    <xf numFmtId="0" fontId="6" fillId="0" borderId="0" xfId="0" applyFont="1"/>
    <xf numFmtId="165" fontId="0" fillId="0" borderId="2" xfId="1" applyNumberFormat="1" applyFont="1" applyBorder="1"/>
    <xf numFmtId="165" fontId="0" fillId="0" borderId="0" xfId="1" applyNumberFormat="1" applyFont="1" applyBorder="1"/>
    <xf numFmtId="0" fontId="7" fillId="0" borderId="0" xfId="0" applyFont="1"/>
    <xf numFmtId="0" fontId="8" fillId="0" borderId="0" xfId="0" applyFont="1"/>
    <xf numFmtId="0" fontId="7" fillId="0" borderId="0" xfId="0" applyFont="1" applyAlignment="1">
      <alignment horizontal="right"/>
    </xf>
    <xf numFmtId="0" fontId="9" fillId="0" borderId="0" xfId="0" applyFont="1"/>
    <xf numFmtId="165" fontId="0" fillId="0" borderId="0" xfId="0" applyNumberFormat="1"/>
    <xf numFmtId="0" fontId="9" fillId="0" borderId="6" xfId="0" applyFont="1" applyBorder="1"/>
    <xf numFmtId="0" fontId="0" fillId="0" borderId="7" xfId="0" applyBorder="1"/>
    <xf numFmtId="165" fontId="7" fillId="0" borderId="7" xfId="0" applyNumberFormat="1" applyFont="1" applyBorder="1" applyAlignment="1">
      <alignment horizontal="right"/>
    </xf>
    <xf numFmtId="165" fontId="7" fillId="0" borderId="8" xfId="0" applyNumberFormat="1" applyFont="1" applyBorder="1" applyAlignment="1">
      <alignment horizontal="right"/>
    </xf>
    <xf numFmtId="0" fontId="8" fillId="0" borderId="9" xfId="0" applyFont="1" applyBorder="1"/>
    <xf numFmtId="0" fontId="0" fillId="0" borderId="0" xfId="0" applyBorder="1"/>
    <xf numFmtId="165" fontId="0" fillId="0" borderId="0" xfId="0" applyNumberFormat="1" applyBorder="1"/>
    <xf numFmtId="165" fontId="0" fillId="0" borderId="10" xfId="0" applyNumberFormat="1" applyBorder="1"/>
    <xf numFmtId="0" fontId="0" fillId="0" borderId="9" xfId="0" applyBorder="1"/>
    <xf numFmtId="0" fontId="7" fillId="0" borderId="0" xfId="0" applyFont="1" applyBorder="1"/>
    <xf numFmtId="165" fontId="0" fillId="0" borderId="10" xfId="1" applyNumberFormat="1" applyFont="1" applyBorder="1"/>
    <xf numFmtId="164" fontId="0" fillId="0" borderId="0" xfId="1" applyNumberFormat="1" applyFont="1" applyBorder="1"/>
    <xf numFmtId="164" fontId="0" fillId="0" borderId="10" xfId="1" applyNumberFormat="1" applyFont="1" applyBorder="1"/>
    <xf numFmtId="165" fontId="0" fillId="0" borderId="11" xfId="1" applyNumberFormat="1" applyFont="1" applyBorder="1"/>
    <xf numFmtId="165" fontId="7" fillId="0" borderId="0" xfId="0" applyNumberFormat="1" applyFont="1" applyBorder="1"/>
    <xf numFmtId="0" fontId="7" fillId="0" borderId="9" xfId="0" applyFont="1" applyBorder="1"/>
    <xf numFmtId="0" fontId="0" fillId="0" borderId="12" xfId="0" applyBorder="1"/>
    <xf numFmtId="0" fontId="0" fillId="0" borderId="13" xfId="0" applyBorder="1"/>
    <xf numFmtId="0" fontId="0" fillId="0" borderId="6" xfId="0" applyBorder="1"/>
    <xf numFmtId="0" fontId="9" fillId="0" borderId="9" xfId="0" applyFont="1" applyBorder="1"/>
    <xf numFmtId="165" fontId="0" fillId="0" borderId="13" xfId="0" applyNumberFormat="1" applyBorder="1"/>
    <xf numFmtId="165" fontId="0" fillId="0" borderId="14" xfId="0" applyNumberFormat="1" applyBorder="1"/>
    <xf numFmtId="0" fontId="7" fillId="0" borderId="6" xfId="0" applyFont="1" applyBorder="1"/>
    <xf numFmtId="0" fontId="0" fillId="0" borderId="0" xfId="0" applyFont="1"/>
    <xf numFmtId="0" fontId="0" fillId="2" borderId="0" xfId="0" applyFill="1"/>
    <xf numFmtId="0" fontId="7" fillId="3" borderId="0" xfId="0" applyFont="1" applyFill="1" applyBorder="1"/>
    <xf numFmtId="0" fontId="7" fillId="3" borderId="0" xfId="0" applyFont="1" applyFill="1"/>
    <xf numFmtId="0" fontId="7" fillId="3" borderId="18" xfId="7" applyFont="1" applyFill="1" applyBorder="1" applyAlignment="1">
      <alignment vertical="center"/>
    </xf>
    <xf numFmtId="0" fontId="7" fillId="3" borderId="0" xfId="7" applyFont="1" applyFill="1" applyBorder="1" applyAlignment="1">
      <alignment vertical="center"/>
    </xf>
    <xf numFmtId="0" fontId="7" fillId="3" borderId="19" xfId="7" applyFont="1" applyFill="1" applyBorder="1" applyAlignment="1">
      <alignment vertical="center"/>
    </xf>
    <xf numFmtId="0" fontId="0" fillId="3" borderId="0" xfId="0" applyFill="1" applyBorder="1"/>
    <xf numFmtId="0" fontId="0" fillId="3" borderId="0" xfId="0" applyFill="1"/>
    <xf numFmtId="0" fontId="7" fillId="3" borderId="18" xfId="0" applyFont="1" applyFill="1" applyBorder="1"/>
    <xf numFmtId="0" fontId="7" fillId="3" borderId="19" xfId="0" applyFont="1" applyFill="1" applyBorder="1"/>
    <xf numFmtId="0" fontId="7" fillId="0" borderId="18" xfId="7" applyFont="1" applyFill="1" applyBorder="1" applyAlignment="1">
      <alignment vertical="center"/>
    </xf>
    <xf numFmtId="0" fontId="7" fillId="0" borderId="0" xfId="7" applyFont="1" applyFill="1" applyBorder="1" applyAlignment="1">
      <alignment vertical="center"/>
    </xf>
    <xf numFmtId="0" fontId="7" fillId="0" borderId="19" xfId="7" applyFont="1" applyFill="1" applyBorder="1" applyAlignment="1">
      <alignment vertical="center"/>
    </xf>
    <xf numFmtId="0" fontId="0" fillId="0" borderId="0" xfId="0" applyFill="1" applyBorder="1"/>
    <xf numFmtId="0" fontId="7" fillId="0" borderId="0" xfId="0" applyFont="1" applyFill="1"/>
    <xf numFmtId="0" fontId="7" fillId="0" borderId="18" xfId="0" applyFont="1" applyBorder="1"/>
    <xf numFmtId="0" fontId="7" fillId="0" borderId="19" xfId="0" applyFont="1" applyBorder="1"/>
    <xf numFmtId="0" fontId="0" fillId="0" borderId="0" xfId="0" applyAlignment="1">
      <alignment vertical="center"/>
    </xf>
    <xf numFmtId="3" fontId="0" fillId="0" borderId="18" xfId="7" applyNumberFormat="1" applyFont="1" applyFill="1" applyBorder="1" applyAlignment="1">
      <alignment vertical="center"/>
    </xf>
    <xf numFmtId="3" fontId="0" fillId="0" borderId="0" xfId="7" applyNumberFormat="1" applyFont="1" applyFill="1" applyBorder="1" applyAlignment="1">
      <alignment vertical="center"/>
    </xf>
    <xf numFmtId="3" fontId="0" fillId="0" borderId="19" xfId="7" applyNumberFormat="1" applyFont="1" applyFill="1" applyBorder="1" applyAlignment="1">
      <alignment vertical="center"/>
    </xf>
    <xf numFmtId="3" fontId="0" fillId="0" borderId="0" xfId="0" applyNumberFormat="1" applyFill="1"/>
    <xf numFmtId="3" fontId="0" fillId="0" borderId="18" xfId="0" applyNumberFormat="1" applyBorder="1"/>
    <xf numFmtId="3" fontId="0" fillId="0" borderId="0" xfId="0" applyNumberFormat="1" applyBorder="1"/>
    <xf numFmtId="0" fontId="0" fillId="0" borderId="19" xfId="0" applyBorder="1"/>
    <xf numFmtId="3" fontId="0" fillId="0" borderId="19" xfId="0" applyNumberFormat="1" applyBorder="1"/>
    <xf numFmtId="0" fontId="0" fillId="0" borderId="0" xfId="0" applyFont="1" applyFill="1" applyBorder="1" applyAlignment="1">
      <alignment horizontal="center" wrapText="1"/>
    </xf>
    <xf numFmtId="3" fontId="0" fillId="0" borderId="19" xfId="0" applyNumberFormat="1" applyFill="1" applyBorder="1" applyAlignment="1">
      <alignment horizontal="center"/>
    </xf>
    <xf numFmtId="3" fontId="0" fillId="0" borderId="20" xfId="7" applyNumberFormat="1" applyFont="1" applyFill="1" applyBorder="1" applyAlignment="1">
      <alignment vertical="center"/>
    </xf>
    <xf numFmtId="3" fontId="0" fillId="0" borderId="4" xfId="7" applyNumberFormat="1" applyFont="1" applyFill="1" applyBorder="1" applyAlignment="1">
      <alignment vertical="center"/>
    </xf>
    <xf numFmtId="0" fontId="0" fillId="0" borderId="4" xfId="0" applyFont="1" applyFill="1" applyBorder="1" applyAlignment="1">
      <alignment horizontal="center" wrapText="1"/>
    </xf>
    <xf numFmtId="3" fontId="0" fillId="0" borderId="21" xfId="0" applyNumberFormat="1" applyFill="1" applyBorder="1" applyAlignment="1">
      <alignment horizontal="center"/>
    </xf>
    <xf numFmtId="3" fontId="0" fillId="0" borderId="20" xfId="0" applyNumberFormat="1" applyBorder="1"/>
    <xf numFmtId="0" fontId="0" fillId="0" borderId="4" xfId="0" applyBorder="1"/>
    <xf numFmtId="3" fontId="0" fillId="0" borderId="4" xfId="0" applyNumberFormat="1" applyBorder="1"/>
    <xf numFmtId="3" fontId="0" fillId="0" borderId="21" xfId="0" applyNumberFormat="1" applyBorder="1"/>
    <xf numFmtId="3" fontId="6" fillId="0" borderId="0" xfId="0" applyNumberFormat="1" applyFont="1"/>
    <xf numFmtId="2" fontId="0" fillId="0" borderId="0" xfId="0" applyNumberFormat="1"/>
    <xf numFmtId="0" fontId="11" fillId="0" borderId="0" xfId="0" applyFont="1"/>
    <xf numFmtId="0" fontId="0" fillId="0" borderId="0" xfId="0" applyAlignment="1">
      <alignment wrapText="1"/>
    </xf>
    <xf numFmtId="0" fontId="12" fillId="0" borderId="0" xfId="0" applyFont="1" applyFill="1" applyBorder="1"/>
    <xf numFmtId="0" fontId="13" fillId="0" borderId="3" xfId="0" applyFont="1" applyFill="1" applyBorder="1" applyAlignment="1">
      <alignment horizont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right"/>
    </xf>
    <xf numFmtId="0" fontId="14" fillId="0" borderId="0" xfId="0" applyFont="1" applyFill="1" applyBorder="1"/>
    <xf numFmtId="0" fontId="16" fillId="0" borderId="0" xfId="0" applyFont="1"/>
    <xf numFmtId="0" fontId="0" fillId="0" borderId="0" xfId="0" applyFill="1" applyAlignment="1">
      <alignment wrapText="1"/>
    </xf>
    <xf numFmtId="165" fontId="15" fillId="0" borderId="22" xfId="0" applyNumberFormat="1" applyFont="1" applyFill="1" applyBorder="1"/>
    <xf numFmtId="167" fontId="0" fillId="0" borderId="0" xfId="1" applyNumberFormat="1" applyFont="1"/>
    <xf numFmtId="167" fontId="6" fillId="0" borderId="0" xfId="1" applyNumberFormat="1" applyFont="1"/>
    <xf numFmtId="167" fontId="6" fillId="0" borderId="22" xfId="0" applyNumberFormat="1" applyFont="1" applyBorder="1"/>
    <xf numFmtId="165" fontId="6" fillId="0" borderId="0" xfId="0" applyNumberFormat="1" applyFont="1"/>
    <xf numFmtId="0" fontId="0" fillId="2" borderId="9" xfId="0" applyFill="1" applyBorder="1"/>
    <xf numFmtId="167" fontId="0" fillId="0" borderId="0" xfId="0" applyNumberFormat="1"/>
    <xf numFmtId="165" fontId="0" fillId="0" borderId="0" xfId="1" applyNumberFormat="1" applyFont="1" applyFill="1" applyBorder="1"/>
    <xf numFmtId="0" fontId="9" fillId="0" borderId="0" xfId="0" applyFont="1" applyFill="1"/>
    <xf numFmtId="0" fontId="6" fillId="0" borderId="0" xfId="0" applyFont="1" applyFill="1"/>
    <xf numFmtId="0" fontId="17" fillId="0" borderId="9" xfId="0" applyFont="1" applyBorder="1"/>
    <xf numFmtId="0" fontId="7" fillId="5" borderId="23" xfId="0" applyFont="1" applyFill="1" applyBorder="1" applyAlignment="1">
      <alignment horizontal="center"/>
    </xf>
    <xf numFmtId="0" fontId="7" fillId="5" borderId="24" xfId="0" applyFont="1" applyFill="1" applyBorder="1" applyAlignment="1">
      <alignment horizontal="center"/>
    </xf>
    <xf numFmtId="0" fontId="18" fillId="0" borderId="0" xfId="0" applyFont="1" applyAlignment="1">
      <alignment vertical="center"/>
    </xf>
    <xf numFmtId="0" fontId="19" fillId="0" borderId="0" xfId="0" applyFont="1"/>
    <xf numFmtId="0" fontId="19" fillId="0" borderId="0" xfId="0" applyFont="1" applyAlignment="1">
      <alignment vertical="center" wrapText="1"/>
    </xf>
    <xf numFmtId="0" fontId="7" fillId="7" borderId="28" xfId="0" applyFont="1" applyFill="1" applyBorder="1" applyAlignment="1">
      <alignment horizontal="center"/>
    </xf>
    <xf numFmtId="0" fontId="0" fillId="7" borderId="32" xfId="0" applyFont="1" applyFill="1" applyBorder="1" applyAlignment="1">
      <alignment horizontal="center"/>
    </xf>
    <xf numFmtId="0" fontId="0" fillId="7" borderId="33" xfId="0" applyFont="1" applyFill="1" applyBorder="1" applyAlignment="1">
      <alignment horizontal="center"/>
    </xf>
    <xf numFmtId="0" fontId="0" fillId="0" borderId="0" xfId="0" applyFont="1" applyAlignment="1">
      <alignment horizontal="right"/>
    </xf>
    <xf numFmtId="0" fontId="0" fillId="0" borderId="0" xfId="0" applyFont="1" applyAlignment="1">
      <alignment horizontal="left"/>
    </xf>
    <xf numFmtId="44" fontId="0" fillId="7" borderId="32" xfId="0" applyNumberFormat="1" applyFont="1" applyFill="1" applyBorder="1" applyAlignment="1">
      <alignment horizontal="center"/>
    </xf>
    <xf numFmtId="43" fontId="0" fillId="7" borderId="32" xfId="0" applyNumberFormat="1" applyFont="1" applyFill="1" applyBorder="1" applyAlignment="1">
      <alignment horizontal="center"/>
    </xf>
    <xf numFmtId="43" fontId="0" fillId="0" borderId="0" xfId="9" applyFont="1" applyAlignment="1">
      <alignment horizontal="right"/>
    </xf>
    <xf numFmtId="43" fontId="0" fillId="0" borderId="0" xfId="0" applyNumberFormat="1" applyFont="1" applyAlignment="1">
      <alignment horizontal="right"/>
    </xf>
    <xf numFmtId="44" fontId="0" fillId="0" borderId="0" xfId="0" applyNumberFormat="1" applyFont="1" applyAlignment="1">
      <alignment horizontal="right"/>
    </xf>
    <xf numFmtId="44" fontId="0" fillId="0" borderId="0" xfId="0" applyNumberFormat="1"/>
    <xf numFmtId="168" fontId="7" fillId="0" borderId="0" xfId="8" applyNumberFormat="1" applyFont="1"/>
    <xf numFmtId="168" fontId="0" fillId="0" borderId="0" xfId="8" applyNumberFormat="1" applyFont="1"/>
    <xf numFmtId="0" fontId="7" fillId="8" borderId="23" xfId="0" applyFont="1" applyFill="1" applyBorder="1" applyAlignment="1">
      <alignment horizontal="center"/>
    </xf>
    <xf numFmtId="0" fontId="7" fillId="8" borderId="24" xfId="0" applyFont="1" applyFill="1" applyBorder="1" applyAlignment="1">
      <alignment horizontal="center"/>
    </xf>
    <xf numFmtId="0" fontId="7" fillId="9" borderId="34" xfId="0" applyFont="1" applyFill="1" applyBorder="1"/>
    <xf numFmtId="168" fontId="0" fillId="9" borderId="3" xfId="0" applyNumberFormat="1" applyFill="1" applyBorder="1"/>
    <xf numFmtId="0" fontId="7" fillId="0" borderId="0" xfId="0" applyFont="1" applyAlignment="1">
      <alignment horizontal="center"/>
    </xf>
    <xf numFmtId="0" fontId="7" fillId="10" borderId="23" xfId="0" applyFont="1" applyFill="1" applyBorder="1" applyAlignment="1">
      <alignment horizontal="center"/>
    </xf>
    <xf numFmtId="0" fontId="7" fillId="10" borderId="24" xfId="0" applyFont="1" applyFill="1" applyBorder="1" applyAlignment="1">
      <alignment horizontal="center"/>
    </xf>
    <xf numFmtId="0" fontId="7" fillId="11" borderId="34" xfId="0" applyFont="1" applyFill="1" applyBorder="1"/>
    <xf numFmtId="168" fontId="0" fillId="11" borderId="3" xfId="0" applyNumberFormat="1" applyFill="1" applyBorder="1"/>
    <xf numFmtId="0" fontId="7" fillId="7" borderId="20" xfId="0" applyFont="1" applyFill="1" applyBorder="1" applyAlignment="1">
      <alignment horizontal="center"/>
    </xf>
    <xf numFmtId="168" fontId="0" fillId="7" borderId="26" xfId="0" applyNumberFormat="1" applyFill="1" applyBorder="1"/>
    <xf numFmtId="0" fontId="7" fillId="7" borderId="34" xfId="0" applyFont="1" applyFill="1" applyBorder="1" applyAlignment="1">
      <alignment horizontal="center"/>
    </xf>
    <xf numFmtId="168" fontId="0" fillId="7" borderId="3" xfId="0" applyNumberFormat="1" applyFill="1" applyBorder="1"/>
    <xf numFmtId="43" fontId="0" fillId="0" borderId="0" xfId="0" applyNumberFormat="1"/>
    <xf numFmtId="0" fontId="20" fillId="0" borderId="13" xfId="0" applyFont="1" applyBorder="1" applyAlignment="1">
      <alignment vertical="center"/>
    </xf>
    <xf numFmtId="0" fontId="20" fillId="0" borderId="0" xfId="0" applyFont="1" applyAlignment="1">
      <alignment vertical="center"/>
    </xf>
    <xf numFmtId="0" fontId="21" fillId="12" borderId="30" xfId="0" applyFont="1" applyFill="1" applyBorder="1" applyAlignment="1">
      <alignment horizontal="center" vertical="center"/>
    </xf>
    <xf numFmtId="0" fontId="21" fillId="12" borderId="14" xfId="0" applyFont="1" applyFill="1" applyBorder="1" applyAlignment="1">
      <alignment horizontal="center" vertical="center"/>
    </xf>
    <xf numFmtId="0" fontId="21" fillId="12" borderId="27" xfId="0" applyFont="1" applyFill="1" applyBorder="1" applyAlignment="1">
      <alignment horizontal="center" vertical="center"/>
    </xf>
    <xf numFmtId="0" fontId="22" fillId="13" borderId="24" xfId="0" applyFont="1" applyFill="1" applyBorder="1" applyAlignment="1">
      <alignment horizontal="center" vertical="center"/>
    </xf>
    <xf numFmtId="0" fontId="22" fillId="13" borderId="14" xfId="0" applyFont="1" applyFill="1" applyBorder="1" applyAlignment="1">
      <alignment horizontal="center" vertical="center"/>
    </xf>
    <xf numFmtId="0" fontId="22" fillId="13" borderId="30" xfId="0" applyFont="1" applyFill="1" applyBorder="1" applyAlignment="1">
      <alignment horizontal="center" vertical="center"/>
    </xf>
    <xf numFmtId="0" fontId="22" fillId="0" borderId="24" xfId="0" applyFont="1" applyBorder="1" applyAlignment="1">
      <alignment horizontal="center" vertical="center"/>
    </xf>
    <xf numFmtId="0" fontId="22" fillId="0" borderId="14" xfId="0" applyFont="1" applyBorder="1" applyAlignment="1">
      <alignment horizontal="center" vertical="center"/>
    </xf>
    <xf numFmtId="0" fontId="22" fillId="0" borderId="30" xfId="0" applyFont="1" applyBorder="1" applyAlignment="1">
      <alignment horizontal="center" vertical="center"/>
    </xf>
    <xf numFmtId="0" fontId="21" fillId="12" borderId="14" xfId="0" applyFont="1" applyFill="1" applyBorder="1" applyAlignment="1">
      <alignment horizontal="center" vertical="center" wrapText="1"/>
    </xf>
    <xf numFmtId="167" fontId="22" fillId="13" borderId="14" xfId="1" applyNumberFormat="1" applyFont="1" applyFill="1" applyBorder="1" applyAlignment="1">
      <alignment horizontal="center" vertical="center"/>
    </xf>
    <xf numFmtId="167" fontId="22" fillId="13" borderId="13" xfId="1" applyNumberFormat="1" applyFont="1" applyFill="1" applyBorder="1" applyAlignment="1">
      <alignment horizontal="center" vertical="center"/>
    </xf>
    <xf numFmtId="167" fontId="22" fillId="13" borderId="30" xfId="1" applyNumberFormat="1" applyFont="1" applyFill="1" applyBorder="1" applyAlignment="1">
      <alignment horizontal="center" vertical="center"/>
    </xf>
    <xf numFmtId="167" fontId="22" fillId="0" borderId="14" xfId="1" applyNumberFormat="1" applyFont="1" applyBorder="1" applyAlignment="1">
      <alignment horizontal="center" vertical="center"/>
    </xf>
    <xf numFmtId="167" fontId="22" fillId="0" borderId="13" xfId="1" applyNumberFormat="1" applyFont="1" applyBorder="1" applyAlignment="1">
      <alignment horizontal="center" vertical="center"/>
    </xf>
    <xf numFmtId="167" fontId="22" fillId="0" borderId="30" xfId="1" applyNumberFormat="1" applyFont="1" applyBorder="1" applyAlignment="1">
      <alignment horizontal="center" vertical="center"/>
    </xf>
    <xf numFmtId="0" fontId="14" fillId="2" borderId="0" xfId="0" applyFont="1" applyFill="1" applyBorder="1"/>
    <xf numFmtId="165" fontId="0" fillId="0" borderId="0" xfId="0" applyNumberFormat="1" applyFill="1" applyBorder="1"/>
    <xf numFmtId="165" fontId="0" fillId="0" borderId="10" xfId="0" applyNumberFormat="1" applyFill="1" applyBorder="1"/>
    <xf numFmtId="164" fontId="0" fillId="0" borderId="0" xfId="1" applyFont="1" applyBorder="1"/>
    <xf numFmtId="9" fontId="0" fillId="0" borderId="0" xfId="0" applyNumberFormat="1"/>
    <xf numFmtId="168" fontId="0" fillId="0" borderId="0" xfId="0" applyNumberFormat="1"/>
    <xf numFmtId="0" fontId="7" fillId="14" borderId="35" xfId="0" applyFont="1" applyFill="1" applyBorder="1" applyAlignment="1">
      <alignment horizontal="center"/>
    </xf>
    <xf numFmtId="0" fontId="7" fillId="14" borderId="23" xfId="0" applyFont="1" applyFill="1" applyBorder="1" applyAlignment="1">
      <alignment horizontal="center"/>
    </xf>
    <xf numFmtId="0" fontId="7" fillId="0" borderId="0" xfId="0" applyFont="1" applyFill="1" applyBorder="1"/>
    <xf numFmtId="0" fontId="7" fillId="0" borderId="0" xfId="0" applyFont="1" applyFill="1" applyBorder="1" applyAlignment="1">
      <alignment horizontal="center"/>
    </xf>
    <xf numFmtId="0" fontId="7" fillId="14" borderId="35" xfId="0" applyFont="1" applyFill="1" applyBorder="1" applyAlignment="1">
      <alignment horizontal="right"/>
    </xf>
    <xf numFmtId="0" fontId="0" fillId="14" borderId="38" xfId="0" applyFont="1" applyFill="1" applyBorder="1" applyAlignment="1">
      <alignment horizontal="center"/>
    </xf>
    <xf numFmtId="0" fontId="0" fillId="14" borderId="39" xfId="0" applyFont="1" applyFill="1" applyBorder="1" applyAlignment="1">
      <alignment horizontal="center"/>
    </xf>
    <xf numFmtId="0" fontId="0" fillId="14" borderId="40" xfId="0" applyFont="1" applyFill="1" applyBorder="1" applyAlignment="1">
      <alignment horizontal="center"/>
    </xf>
    <xf numFmtId="0" fontId="7" fillId="0" borderId="0" xfId="0" applyFont="1" applyFill="1" applyBorder="1" applyAlignment="1">
      <alignment horizontal="right"/>
    </xf>
    <xf numFmtId="0" fontId="0" fillId="0" borderId="0" xfId="0" applyFont="1" applyFill="1" applyBorder="1" applyAlignment="1">
      <alignment horizontal="center"/>
    </xf>
    <xf numFmtId="0" fontId="0" fillId="14" borderId="41" xfId="0" applyFill="1" applyBorder="1" applyAlignment="1">
      <alignment horizontal="right"/>
    </xf>
    <xf numFmtId="0" fontId="0" fillId="0" borderId="0" xfId="0" applyFill="1" applyBorder="1" applyAlignment="1">
      <alignment horizontal="right"/>
    </xf>
    <xf numFmtId="0" fontId="0" fillId="0" borderId="0" xfId="0" applyFill="1" applyBorder="1" applyAlignment="1">
      <alignment horizontal="center"/>
    </xf>
    <xf numFmtId="1" fontId="0" fillId="0" borderId="0" xfId="0" applyNumberFormat="1" applyFill="1" applyBorder="1" applyAlignment="1">
      <alignment horizontal="center"/>
    </xf>
    <xf numFmtId="0" fontId="0" fillId="14" borderId="47" xfId="0" applyFill="1" applyBorder="1" applyAlignment="1">
      <alignment horizontal="right"/>
    </xf>
    <xf numFmtId="0" fontId="7" fillId="14" borderId="38" xfId="0" applyFont="1" applyFill="1" applyBorder="1" applyAlignment="1">
      <alignment horizontal="right"/>
    </xf>
    <xf numFmtId="1" fontId="7" fillId="14" borderId="38" xfId="0" applyNumberFormat="1" applyFont="1" applyFill="1" applyBorder="1" applyAlignment="1">
      <alignment horizontal="center"/>
    </xf>
    <xf numFmtId="1" fontId="7" fillId="0" borderId="0" xfId="0" applyNumberFormat="1" applyFont="1" applyFill="1" applyBorder="1" applyAlignment="1">
      <alignment horizontal="center"/>
    </xf>
    <xf numFmtId="165" fontId="0" fillId="0" borderId="0" xfId="9" applyNumberFormat="1" applyFont="1" applyAlignment="1">
      <alignment horizontal="right"/>
    </xf>
    <xf numFmtId="0" fontId="0" fillId="0" borderId="0" xfId="0" applyAlignment="1">
      <alignment horizontal="center"/>
    </xf>
    <xf numFmtId="1" fontId="7" fillId="14" borderId="39" xfId="0" applyNumberFormat="1" applyFont="1" applyFill="1" applyBorder="1" applyAlignment="1">
      <alignment horizontal="center"/>
    </xf>
    <xf numFmtId="1" fontId="7" fillId="14" borderId="40" xfId="0" applyNumberFormat="1" applyFont="1" applyFill="1" applyBorder="1" applyAlignment="1">
      <alignment horizontal="center"/>
    </xf>
    <xf numFmtId="0" fontId="7" fillId="10" borderId="34" xfId="0" applyFont="1" applyFill="1" applyBorder="1"/>
    <xf numFmtId="0" fontId="0" fillId="10" borderId="2" xfId="0" applyFill="1" applyBorder="1" applyAlignment="1">
      <alignment horizontal="center"/>
    </xf>
    <xf numFmtId="0" fontId="0" fillId="10" borderId="2" xfId="0" applyFill="1" applyBorder="1"/>
    <xf numFmtId="0" fontId="0" fillId="10" borderId="25" xfId="0" applyFill="1" applyBorder="1"/>
    <xf numFmtId="0" fontId="7" fillId="14" borderId="34" xfId="0" applyFont="1" applyFill="1" applyBorder="1" applyAlignment="1">
      <alignment horizontal="left"/>
    </xf>
    <xf numFmtId="0" fontId="0" fillId="14" borderId="2" xfId="0" applyFill="1" applyBorder="1" applyAlignment="1">
      <alignment horizontal="center"/>
    </xf>
    <xf numFmtId="0" fontId="0" fillId="14" borderId="2" xfId="0" applyFill="1" applyBorder="1"/>
    <xf numFmtId="0" fontId="0" fillId="14" borderId="25" xfId="0" applyFill="1" applyBorder="1"/>
    <xf numFmtId="0" fontId="8" fillId="6" borderId="25" xfId="0" applyFont="1" applyFill="1" applyBorder="1" applyAlignment="1">
      <alignment horizontal="center"/>
    </xf>
    <xf numFmtId="0" fontId="8" fillId="6" borderId="3" xfId="0" applyFont="1" applyFill="1" applyBorder="1" applyAlignment="1">
      <alignment horizontal="center"/>
    </xf>
    <xf numFmtId="0" fontId="23" fillId="6" borderId="3" xfId="0" applyFont="1" applyFill="1" applyBorder="1" applyAlignment="1">
      <alignment horizontal="center"/>
    </xf>
    <xf numFmtId="17" fontId="7" fillId="3" borderId="3" xfId="0" applyNumberFormat="1" applyFont="1" applyFill="1" applyBorder="1" applyAlignment="1">
      <alignment horizontal="center" vertical="top"/>
    </xf>
    <xf numFmtId="0" fontId="24" fillId="3" borderId="3" xfId="0" applyFont="1" applyFill="1" applyBorder="1" applyAlignment="1">
      <alignment horizontal="center"/>
    </xf>
    <xf numFmtId="17" fontId="0" fillId="0" borderId="0" xfId="0" applyNumberFormat="1"/>
    <xf numFmtId="0" fontId="0" fillId="15" borderId="3" xfId="0" applyFill="1" applyBorder="1"/>
    <xf numFmtId="0" fontId="0" fillId="15" borderId="26" xfId="0" applyFill="1" applyBorder="1"/>
    <xf numFmtId="0" fontId="0" fillId="0" borderId="3" xfId="0" applyBorder="1"/>
    <xf numFmtId="0" fontId="0" fillId="16" borderId="3" xfId="0" applyFill="1" applyBorder="1"/>
    <xf numFmtId="0" fontId="1" fillId="16" borderId="3" xfId="11" applyFill="1" applyBorder="1"/>
    <xf numFmtId="0" fontId="25" fillId="0" borderId="3" xfId="0" applyFont="1" applyBorder="1"/>
    <xf numFmtId="0" fontId="25" fillId="16" borderId="3" xfId="0" applyFont="1" applyFill="1" applyBorder="1"/>
    <xf numFmtId="0" fontId="7" fillId="15" borderId="0" xfId="0" applyFont="1" applyFill="1" applyBorder="1"/>
    <xf numFmtId="0" fontId="7" fillId="15" borderId="3" xfId="0" applyFont="1" applyFill="1" applyBorder="1"/>
    <xf numFmtId="0" fontId="7" fillId="6" borderId="3" xfId="0" applyFont="1" applyFill="1" applyBorder="1"/>
    <xf numFmtId="1" fontId="0" fillId="17" borderId="3" xfId="0" applyNumberFormat="1" applyFont="1" applyFill="1" applyBorder="1"/>
    <xf numFmtId="0" fontId="7" fillId="17" borderId="3" xfId="0" applyFont="1" applyFill="1" applyBorder="1"/>
    <xf numFmtId="1" fontId="7" fillId="2" borderId="3" xfId="0" applyNumberFormat="1" applyFont="1" applyFill="1" applyBorder="1"/>
    <xf numFmtId="0" fontId="7" fillId="2" borderId="3" xfId="0" applyFont="1" applyFill="1" applyBorder="1"/>
    <xf numFmtId="1" fontId="7" fillId="6" borderId="3" xfId="0" applyNumberFormat="1" applyFont="1" applyFill="1" applyBorder="1" applyAlignment="1">
      <alignment horizontal="center" vertical="center"/>
    </xf>
    <xf numFmtId="0" fontId="25" fillId="3" borderId="3" xfId="0" applyFont="1" applyFill="1" applyBorder="1" applyAlignment="1">
      <alignment horizontal="center" vertical="center"/>
    </xf>
    <xf numFmtId="3" fontId="0" fillId="0" borderId="3" xfId="0" applyNumberFormat="1" applyBorder="1"/>
    <xf numFmtId="0" fontId="7" fillId="18" borderId="0" xfId="0" applyFont="1" applyFill="1" applyBorder="1"/>
    <xf numFmtId="0" fontId="0" fillId="18" borderId="0" xfId="0" applyFill="1"/>
    <xf numFmtId="0" fontId="7" fillId="15" borderId="50" xfId="0" applyFont="1" applyFill="1" applyBorder="1"/>
    <xf numFmtId="1" fontId="7" fillId="2" borderId="50" xfId="0" applyNumberFormat="1" applyFont="1" applyFill="1" applyBorder="1"/>
    <xf numFmtId="0" fontId="7" fillId="2" borderId="50" xfId="0" applyFont="1" applyFill="1" applyBorder="1"/>
    <xf numFmtId="1" fontId="7" fillId="8" borderId="3" xfId="0" applyNumberFormat="1" applyFont="1" applyFill="1" applyBorder="1"/>
    <xf numFmtId="0" fontId="7" fillId="8" borderId="3" xfId="0" applyFont="1" applyFill="1" applyBorder="1"/>
    <xf numFmtId="1" fontId="7" fillId="0" borderId="0" xfId="0" applyNumberFormat="1" applyFont="1" applyFill="1" applyBorder="1"/>
    <xf numFmtId="1" fontId="7" fillId="0" borderId="0" xfId="0" applyNumberFormat="1" applyFont="1" applyFill="1" applyBorder="1" applyAlignment="1">
      <alignment horizontal="center" vertical="center"/>
    </xf>
    <xf numFmtId="0" fontId="7" fillId="8" borderId="0" xfId="0" applyFont="1" applyFill="1"/>
    <xf numFmtId="169" fontId="0" fillId="0" borderId="37" xfId="0" applyNumberFormat="1" applyBorder="1"/>
    <xf numFmtId="0" fontId="0" fillId="8" borderId="0" xfId="0" applyFill="1"/>
    <xf numFmtId="169" fontId="0" fillId="0" borderId="46" xfId="0" applyNumberFormat="1" applyBorder="1"/>
    <xf numFmtId="0" fontId="0" fillId="0" borderId="2" xfId="0" applyBorder="1"/>
    <xf numFmtId="0" fontId="0" fillId="0" borderId="25" xfId="0" applyBorder="1"/>
    <xf numFmtId="0" fontId="7" fillId="0" borderId="4" xfId="0" applyFont="1" applyBorder="1"/>
    <xf numFmtId="0" fontId="0" fillId="0" borderId="21" xfId="0" applyBorder="1"/>
    <xf numFmtId="0" fontId="0" fillId="0" borderId="10" xfId="0" applyBorder="1"/>
    <xf numFmtId="0" fontId="0" fillId="0" borderId="46" xfId="0" applyBorder="1"/>
    <xf numFmtId="0" fontId="7" fillId="0" borderId="3" xfId="0" applyFont="1" applyBorder="1"/>
    <xf numFmtId="0" fontId="7" fillId="0" borderId="2" xfId="0" applyFont="1" applyBorder="1"/>
    <xf numFmtId="9" fontId="0" fillId="0" borderId="46" xfId="0" applyNumberFormat="1" applyBorder="1"/>
    <xf numFmtId="9" fontId="0" fillId="0" borderId="40" xfId="0" applyNumberFormat="1" applyBorder="1"/>
    <xf numFmtId="0" fontId="0" fillId="6" borderId="6" xfId="0" applyFill="1" applyBorder="1"/>
    <xf numFmtId="0" fontId="7" fillId="6" borderId="9" xfId="0" applyFont="1" applyFill="1" applyBorder="1"/>
    <xf numFmtId="0" fontId="7" fillId="6" borderId="0" xfId="0" applyFont="1" applyFill="1" applyBorder="1"/>
    <xf numFmtId="0" fontId="7" fillId="14" borderId="3" xfId="0" applyFont="1" applyFill="1" applyBorder="1" applyAlignment="1">
      <alignment horizontal="center" vertical="top" wrapText="1"/>
    </xf>
    <xf numFmtId="0" fontId="7" fillId="14" borderId="46" xfId="0" applyFont="1" applyFill="1" applyBorder="1" applyAlignment="1">
      <alignment vertical="top" wrapText="1"/>
    </xf>
    <xf numFmtId="0" fontId="7" fillId="0" borderId="45" xfId="0" applyFont="1" applyBorder="1"/>
    <xf numFmtId="0" fontId="7" fillId="0" borderId="3" xfId="0" applyFont="1" applyBorder="1" applyAlignment="1">
      <alignment horizontal="center"/>
    </xf>
    <xf numFmtId="0" fontId="7" fillId="0" borderId="46" xfId="0" applyFont="1" applyBorder="1" applyAlignment="1">
      <alignment horizontal="center"/>
    </xf>
    <xf numFmtId="9" fontId="0" fillId="0" borderId="45" xfId="10" applyFont="1" applyBorder="1"/>
    <xf numFmtId="0" fontId="0" fillId="0" borderId="3" xfId="0" applyBorder="1" applyAlignment="1">
      <alignment horizontal="center"/>
    </xf>
    <xf numFmtId="2" fontId="0" fillId="0" borderId="3" xfId="0" applyNumberFormat="1" applyBorder="1" applyAlignment="1">
      <alignment horizontal="center"/>
    </xf>
    <xf numFmtId="0" fontId="7" fillId="14" borderId="3" xfId="0" applyFont="1" applyFill="1" applyBorder="1" applyAlignment="1">
      <alignment horizontal="center"/>
    </xf>
    <xf numFmtId="0" fontId="7" fillId="14" borderId="34" xfId="0" applyFont="1" applyFill="1" applyBorder="1" applyAlignment="1">
      <alignment horizontal="center"/>
    </xf>
    <xf numFmtId="0" fontId="7" fillId="14" borderId="25" xfId="0" applyFont="1" applyFill="1" applyBorder="1" applyAlignment="1">
      <alignment horizontal="center"/>
    </xf>
    <xf numFmtId="0" fontId="7" fillId="14" borderId="46" xfId="0" applyFont="1" applyFill="1" applyBorder="1" applyAlignment="1">
      <alignment horizontal="center"/>
    </xf>
    <xf numFmtId="0" fontId="7" fillId="6" borderId="0" xfId="0" applyFont="1" applyFill="1" applyBorder="1" applyAlignment="1">
      <alignment horizontal="center"/>
    </xf>
    <xf numFmtId="0" fontId="7" fillId="6" borderId="10" xfId="0" applyFont="1" applyFill="1" applyBorder="1" applyAlignment="1">
      <alignment horizontal="center"/>
    </xf>
    <xf numFmtId="0" fontId="0" fillId="6" borderId="9" xfId="0" applyFill="1" applyBorder="1"/>
    <xf numFmtId="0" fontId="0" fillId="6" borderId="12" xfId="0" applyFill="1" applyBorder="1"/>
    <xf numFmtId="0" fontId="0" fillId="0" borderId="53" xfId="0" applyBorder="1"/>
    <xf numFmtId="1" fontId="0" fillId="0" borderId="53" xfId="10" applyNumberFormat="1" applyFont="1" applyBorder="1"/>
    <xf numFmtId="9" fontId="0" fillId="0" borderId="0" xfId="10" applyFont="1"/>
    <xf numFmtId="0" fontId="7" fillId="19" borderId="3" xfId="0" applyFont="1" applyFill="1" applyBorder="1" applyAlignment="1">
      <alignment horizontal="center" vertical="center"/>
    </xf>
    <xf numFmtId="170" fontId="7" fillId="19" borderId="3" xfId="0" applyNumberFormat="1" applyFont="1" applyFill="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7" fillId="0" borderId="3" xfId="0" applyFont="1" applyBorder="1" applyAlignment="1">
      <alignment horizontal="center" vertical="center"/>
    </xf>
    <xf numFmtId="0" fontId="0" fillId="0" borderId="3" xfId="0" applyNumberFormat="1" applyBorder="1" applyAlignment="1">
      <alignment horizontal="center" vertical="center"/>
    </xf>
    <xf numFmtId="0" fontId="7" fillId="0" borderId="3" xfId="0" applyNumberFormat="1" applyFont="1" applyBorder="1" applyAlignment="1">
      <alignment horizontal="center" vertical="center"/>
    </xf>
    <xf numFmtId="9" fontId="0" fillId="0" borderId="3" xfId="10" applyFont="1" applyBorder="1" applyAlignment="1">
      <alignment horizontal="center" vertical="center"/>
    </xf>
    <xf numFmtId="0" fontId="7" fillId="0" borderId="25" xfId="0" applyFont="1" applyBorder="1" applyAlignment="1">
      <alignment horizontal="center" vertical="center"/>
    </xf>
    <xf numFmtId="0" fontId="7" fillId="19" borderId="3" xfId="0" applyNumberFormat="1" applyFont="1" applyFill="1" applyBorder="1" applyAlignment="1">
      <alignment horizontal="center" vertical="center"/>
    </xf>
    <xf numFmtId="9" fontId="0" fillId="0" borderId="3" xfId="0" applyNumberFormat="1" applyBorder="1" applyAlignment="1">
      <alignment horizontal="center" vertical="center"/>
    </xf>
    <xf numFmtId="0" fontId="7" fillId="0" borderId="51" xfId="0" applyFont="1" applyFill="1" applyBorder="1" applyAlignment="1">
      <alignment horizontal="center" vertical="center"/>
    </xf>
    <xf numFmtId="0" fontId="7" fillId="2" borderId="3" xfId="0" applyFont="1" applyFill="1" applyBorder="1" applyAlignment="1">
      <alignment horizontal="center" vertical="center"/>
    </xf>
    <xf numFmtId="17" fontId="0" fillId="0" borderId="3" xfId="0" applyNumberFormat="1" applyBorder="1"/>
    <xf numFmtId="0" fontId="0" fillId="0" borderId="3" xfId="0" applyBorder="1" applyAlignment="1">
      <alignment horizontal="left" vertical="center" indent="1"/>
    </xf>
    <xf numFmtId="0" fontId="0" fillId="0" borderId="0" xfId="0" applyAlignment="1">
      <alignment horizontal="left" vertical="center"/>
    </xf>
    <xf numFmtId="1" fontId="0" fillId="6" borderId="3" xfId="0" applyNumberFormat="1" applyFill="1" applyBorder="1"/>
    <xf numFmtId="0" fontId="0" fillId="6" borderId="3" xfId="0" applyFill="1" applyBorder="1"/>
    <xf numFmtId="0" fontId="0" fillId="0" borderId="3" xfId="0" applyBorder="1" applyAlignment="1">
      <alignment horizontal="left" indent="1"/>
    </xf>
    <xf numFmtId="165" fontId="0" fillId="0" borderId="0" xfId="9" applyNumberFormat="1" applyFont="1"/>
    <xf numFmtId="0" fontId="0" fillId="8" borderId="6" xfId="0" applyFill="1" applyBorder="1"/>
    <xf numFmtId="0" fontId="0" fillId="8" borderId="7" xfId="0" applyFill="1" applyBorder="1"/>
    <xf numFmtId="0" fontId="0" fillId="8" borderId="8" xfId="0" applyFill="1" applyBorder="1"/>
    <xf numFmtId="0" fontId="0" fillId="8" borderId="9" xfId="0" applyFill="1" applyBorder="1"/>
    <xf numFmtId="0" fontId="7" fillId="6" borderId="3" xfId="0" applyFont="1" applyFill="1" applyBorder="1" applyAlignment="1">
      <alignment horizontal="center" vertical="center"/>
    </xf>
    <xf numFmtId="0" fontId="0" fillId="8" borderId="10" xfId="0" applyFill="1" applyBorder="1"/>
    <xf numFmtId="165" fontId="0" fillId="0" borderId="3" xfId="9" applyNumberFormat="1" applyFont="1" applyBorder="1" applyAlignment="1">
      <alignment horizontal="center" vertical="center"/>
    </xf>
    <xf numFmtId="43" fontId="0" fillId="0" borderId="3" xfId="0" applyNumberFormat="1" applyBorder="1" applyAlignment="1">
      <alignment horizontal="center" vertical="center"/>
    </xf>
    <xf numFmtId="0" fontId="0" fillId="8" borderId="0" xfId="0" applyFill="1" applyBorder="1"/>
    <xf numFmtId="0" fontId="0" fillId="8" borderId="12" xfId="0" applyFill="1" applyBorder="1"/>
    <xf numFmtId="0" fontId="0" fillId="8" borderId="13" xfId="0" applyFill="1" applyBorder="1"/>
    <xf numFmtId="0" fontId="0" fillId="8" borderId="14" xfId="0" applyFill="1" applyBorder="1"/>
    <xf numFmtId="0" fontId="0" fillId="0" borderId="0" xfId="0" applyAlignment="1">
      <alignment horizontal="right"/>
    </xf>
    <xf numFmtId="165" fontId="0" fillId="0" borderId="0" xfId="0" applyNumberFormat="1" applyFont="1" applyFill="1" applyBorder="1"/>
    <xf numFmtId="165" fontId="7" fillId="0" borderId="0" xfId="0" applyNumberFormat="1" applyFont="1" applyFill="1" applyBorder="1" applyAlignment="1">
      <alignment horizontal="right"/>
    </xf>
    <xf numFmtId="171" fontId="26" fillId="20" borderId="54" xfId="12" applyNumberFormat="1" applyFont="1" applyFill="1" applyBorder="1" applyAlignment="1">
      <alignment horizontal="center" vertical="center" wrapText="1"/>
    </xf>
    <xf numFmtId="0" fontId="26" fillId="20" borderId="54" xfId="12" applyFont="1" applyFill="1" applyBorder="1" applyAlignment="1">
      <alignment horizontal="center" vertical="center" wrapText="1"/>
    </xf>
    <xf numFmtId="43" fontId="26" fillId="20" borderId="54" xfId="13" applyFont="1" applyFill="1" applyBorder="1" applyAlignment="1">
      <alignment horizontal="center" vertical="center" wrapText="1"/>
    </xf>
    <xf numFmtId="0" fontId="25" fillId="21" borderId="0" xfId="12" applyFont="1" applyFill="1" applyAlignment="1">
      <alignment horizontal="center" wrapText="1"/>
    </xf>
    <xf numFmtId="0" fontId="25" fillId="22" borderId="0" xfId="12" applyFill="1" applyAlignment="1">
      <alignment horizontal="center"/>
    </xf>
    <xf numFmtId="0" fontId="25" fillId="0" borderId="0" xfId="12" applyAlignment="1">
      <alignment horizontal="center"/>
    </xf>
    <xf numFmtId="0" fontId="25" fillId="0" borderId="0" xfId="12" applyBorder="1" applyAlignment="1">
      <alignment horizontal="center"/>
    </xf>
    <xf numFmtId="0" fontId="25" fillId="0" borderId="0" xfId="12" applyFill="1" applyAlignment="1">
      <alignment horizontal="center"/>
    </xf>
    <xf numFmtId="0" fontId="25" fillId="0" borderId="0" xfId="12" applyFill="1" applyAlignment="1">
      <alignment horizontal="left"/>
    </xf>
    <xf numFmtId="0" fontId="25" fillId="0" borderId="0" xfId="12" applyFill="1"/>
    <xf numFmtId="43" fontId="25" fillId="0" borderId="0" xfId="13" applyFill="1"/>
    <xf numFmtId="0" fontId="25" fillId="0" borderId="0" xfId="12" applyFill="1" applyBorder="1" applyAlignment="1">
      <alignment horizontal="center"/>
    </xf>
    <xf numFmtId="0" fontId="25" fillId="0" borderId="0" xfId="12" applyFill="1" applyBorder="1" applyAlignment="1">
      <alignment horizontal="left"/>
    </xf>
    <xf numFmtId="171" fontId="25" fillId="0" borderId="0" xfId="12" applyNumberFormat="1" applyFill="1" applyBorder="1"/>
    <xf numFmtId="43" fontId="25" fillId="0" borderId="0" xfId="13" applyFill="1" applyBorder="1"/>
    <xf numFmtId="0" fontId="25" fillId="0" borderId="0" xfId="12" applyFill="1" applyBorder="1"/>
    <xf numFmtId="43" fontId="25" fillId="0" borderId="0" xfId="13" applyFont="1" applyFill="1" applyBorder="1"/>
    <xf numFmtId="0" fontId="25" fillId="2" borderId="0" xfId="12" applyFill="1" applyBorder="1" applyAlignment="1">
      <alignment horizontal="left"/>
    </xf>
    <xf numFmtId="0" fontId="25" fillId="2" borderId="0" xfId="12" applyFill="1"/>
    <xf numFmtId="0" fontId="25" fillId="2" borderId="13" xfId="12" applyFill="1" applyBorder="1" applyAlignment="1">
      <alignment horizontal="left"/>
    </xf>
    <xf numFmtId="0" fontId="25" fillId="2" borderId="13" xfId="12" applyFill="1" applyBorder="1"/>
    <xf numFmtId="0" fontId="25" fillId="2" borderId="0" xfId="12" applyFill="1" applyBorder="1"/>
    <xf numFmtId="0" fontId="27" fillId="2" borderId="0" xfId="12" applyFont="1" applyFill="1"/>
    <xf numFmtId="15" fontId="25" fillId="0" borderId="0" xfId="12" applyNumberFormat="1" applyFill="1"/>
    <xf numFmtId="172" fontId="25" fillId="0" borderId="0" xfId="12" applyNumberFormat="1" applyFill="1" applyBorder="1"/>
    <xf numFmtId="43" fontId="29" fillId="0" borderId="0" xfId="13" applyFont="1" applyFill="1" applyBorder="1"/>
    <xf numFmtId="15" fontId="27" fillId="0" borderId="0" xfId="12" applyNumberFormat="1" applyFont="1" applyFill="1"/>
    <xf numFmtId="0" fontId="27" fillId="0" borderId="0" xfId="12" applyFont="1" applyFill="1" applyAlignment="1">
      <alignment horizontal="center"/>
    </xf>
    <xf numFmtId="0" fontId="27" fillId="0" borderId="0" xfId="12" applyFont="1" applyFill="1"/>
    <xf numFmtId="0" fontId="27" fillId="0" borderId="0" xfId="12" applyFont="1" applyFill="1" applyAlignment="1">
      <alignment horizontal="left"/>
    </xf>
    <xf numFmtId="43" fontId="27" fillId="0" borderId="0" xfId="13" applyFont="1" applyFill="1"/>
    <xf numFmtId="173" fontId="0" fillId="0" borderId="2" xfId="1" applyNumberFormat="1" applyFont="1" applyBorder="1"/>
    <xf numFmtId="167" fontId="0" fillId="0" borderId="2" xfId="1" applyNumberFormat="1" applyFont="1" applyBorder="1"/>
    <xf numFmtId="0" fontId="14" fillId="0" borderId="6" xfId="0" applyFont="1" applyFill="1" applyBorder="1"/>
    <xf numFmtId="0" fontId="15" fillId="0" borderId="64" xfId="0" applyFont="1" applyFill="1" applyBorder="1" applyAlignment="1">
      <alignment horizontal="right"/>
    </xf>
    <xf numFmtId="0" fontId="15" fillId="0" borderId="65" xfId="0" applyFont="1" applyFill="1" applyBorder="1" applyAlignment="1">
      <alignment horizontal="right"/>
    </xf>
    <xf numFmtId="0" fontId="15" fillId="0" borderId="7" xfId="0" applyFont="1" applyFill="1" applyBorder="1" applyAlignment="1">
      <alignment horizontal="right"/>
    </xf>
    <xf numFmtId="0" fontId="15" fillId="0" borderId="8" xfId="0" applyFont="1" applyFill="1" applyBorder="1" applyAlignment="1">
      <alignment horizontal="right"/>
    </xf>
    <xf numFmtId="0" fontId="14" fillId="0" borderId="9" xfId="0" applyFont="1" applyFill="1" applyBorder="1"/>
    <xf numFmtId="0" fontId="13" fillId="0" borderId="18" xfId="0" applyFont="1" applyFill="1" applyBorder="1" applyAlignment="1">
      <alignment horizontal="right"/>
    </xf>
    <xf numFmtId="0" fontId="13" fillId="0" borderId="19" xfId="0" applyFont="1" applyFill="1" applyBorder="1" applyAlignment="1">
      <alignment horizontal="right"/>
    </xf>
    <xf numFmtId="0" fontId="13" fillId="0" borderId="10" xfId="0" applyFont="1" applyFill="1" applyBorder="1" applyAlignment="1">
      <alignment horizontal="right"/>
    </xf>
    <xf numFmtId="0" fontId="12" fillId="0" borderId="9" xfId="0" applyFont="1" applyFill="1" applyBorder="1"/>
    <xf numFmtId="0" fontId="14" fillId="45" borderId="9" xfId="0" applyFont="1" applyFill="1" applyBorder="1"/>
    <xf numFmtId="167" fontId="15" fillId="45" borderId="18" xfId="1" applyNumberFormat="1" applyFont="1" applyFill="1" applyBorder="1" applyAlignment="1">
      <alignment horizontal="right"/>
    </xf>
    <xf numFmtId="167" fontId="15" fillId="45" borderId="19" xfId="1" applyNumberFormat="1" applyFont="1" applyFill="1" applyBorder="1" applyAlignment="1">
      <alignment horizontal="right"/>
    </xf>
    <xf numFmtId="167" fontId="15" fillId="45" borderId="0" xfId="1" applyNumberFormat="1" applyFont="1" applyFill="1" applyBorder="1" applyAlignment="1">
      <alignment horizontal="right"/>
    </xf>
    <xf numFmtId="167" fontId="15" fillId="45" borderId="10" xfId="1" applyNumberFormat="1" applyFont="1" applyFill="1" applyBorder="1" applyAlignment="1">
      <alignment horizontal="right"/>
    </xf>
    <xf numFmtId="167" fontId="15" fillId="0" borderId="18" xfId="66" applyNumberFormat="1" applyFont="1" applyFill="1" applyBorder="1" applyAlignment="1">
      <alignment horizontal="right"/>
    </xf>
    <xf numFmtId="167" fontId="15" fillId="0" borderId="19" xfId="66" applyNumberFormat="1" applyFont="1" applyFill="1" applyBorder="1" applyAlignment="1">
      <alignment horizontal="right"/>
    </xf>
    <xf numFmtId="167" fontId="15" fillId="0" borderId="0" xfId="66" applyNumberFormat="1" applyFont="1" applyFill="1" applyBorder="1" applyAlignment="1">
      <alignment horizontal="right"/>
    </xf>
    <xf numFmtId="167" fontId="15" fillId="0" borderId="20" xfId="66" applyNumberFormat="1" applyFont="1" applyFill="1" applyBorder="1" applyAlignment="1">
      <alignment horizontal="right"/>
    </xf>
    <xf numFmtId="167" fontId="15" fillId="0" borderId="21" xfId="66" applyNumberFormat="1" applyFont="1" applyFill="1" applyBorder="1" applyAlignment="1">
      <alignment horizontal="right"/>
    </xf>
    <xf numFmtId="167" fontId="15" fillId="0" borderId="4" xfId="66" applyNumberFormat="1" applyFont="1" applyFill="1" applyBorder="1" applyAlignment="1">
      <alignment horizontal="right"/>
    </xf>
    <xf numFmtId="0" fontId="49" fillId="0" borderId="9" xfId="0" applyFont="1" applyFill="1" applyBorder="1"/>
    <xf numFmtId="165" fontId="15" fillId="0" borderId="0" xfId="66" applyNumberFormat="1" applyFont="1" applyFill="1" applyBorder="1"/>
    <xf numFmtId="167" fontId="15" fillId="0" borderId="15" xfId="66" applyNumberFormat="1" applyFont="1" applyFill="1" applyBorder="1" applyAlignment="1">
      <alignment horizontal="right"/>
    </xf>
    <xf numFmtId="167" fontId="15" fillId="0" borderId="17" xfId="66" applyNumberFormat="1" applyFont="1" applyFill="1" applyBorder="1" applyAlignment="1">
      <alignment horizontal="right"/>
    </xf>
    <xf numFmtId="165" fontId="15" fillId="0" borderId="16" xfId="66" applyNumberFormat="1" applyFont="1" applyFill="1" applyBorder="1"/>
    <xf numFmtId="167" fontId="13" fillId="0" borderId="16" xfId="0" applyNumberFormat="1" applyFont="1" applyFill="1" applyBorder="1" applyAlignment="1">
      <alignment horizontal="right"/>
    </xf>
    <xf numFmtId="165" fontId="15" fillId="0" borderId="4" xfId="66" applyNumberFormat="1" applyFont="1" applyFill="1" applyBorder="1"/>
    <xf numFmtId="167" fontId="13" fillId="0" borderId="4" xfId="0" applyNumberFormat="1" applyFont="1" applyFill="1" applyBorder="1" applyAlignment="1">
      <alignment horizontal="right"/>
    </xf>
    <xf numFmtId="0" fontId="50" fillId="0" borderId="9" xfId="0" applyFont="1" applyFill="1" applyBorder="1"/>
    <xf numFmtId="3" fontId="13" fillId="0" borderId="0" xfId="0" applyNumberFormat="1" applyFont="1" applyFill="1" applyBorder="1" applyAlignment="1">
      <alignment horizontal="right"/>
    </xf>
    <xf numFmtId="0" fontId="13" fillId="0" borderId="66" xfId="0" applyFont="1" applyFill="1" applyBorder="1" applyAlignment="1">
      <alignment horizontal="right"/>
    </xf>
    <xf numFmtId="0" fontId="13" fillId="0" borderId="67" xfId="0" applyFont="1" applyFill="1" applyBorder="1" applyAlignment="1">
      <alignment horizontal="right"/>
    </xf>
    <xf numFmtId="0" fontId="14" fillId="0" borderId="18" xfId="0" applyFont="1" applyFill="1" applyBorder="1"/>
    <xf numFmtId="0" fontId="14" fillId="0" borderId="19" xfId="0" applyFont="1" applyFill="1" applyBorder="1"/>
    <xf numFmtId="0" fontId="15" fillId="0" borderId="0" xfId="0" applyFont="1" applyFill="1" applyBorder="1"/>
    <xf numFmtId="172" fontId="15" fillId="0" borderId="0" xfId="0" applyNumberFormat="1" applyFont="1" applyFill="1" applyBorder="1"/>
    <xf numFmtId="165" fontId="15" fillId="0" borderId="10" xfId="66" applyNumberFormat="1" applyFont="1" applyFill="1" applyBorder="1"/>
    <xf numFmtId="165" fontId="15" fillId="0" borderId="18" xfId="66" applyNumberFormat="1" applyFont="1" applyFill="1" applyBorder="1"/>
    <xf numFmtId="165" fontId="15" fillId="0" borderId="19" xfId="66" applyNumberFormat="1" applyFont="1" applyFill="1" applyBorder="1"/>
    <xf numFmtId="165" fontId="15" fillId="45" borderId="18" xfId="66" applyNumberFormat="1" applyFont="1" applyFill="1" applyBorder="1"/>
    <xf numFmtId="165" fontId="15" fillId="45" borderId="19" xfId="66" applyNumberFormat="1" applyFont="1" applyFill="1" applyBorder="1"/>
    <xf numFmtId="165" fontId="15" fillId="45" borderId="0" xfId="66" applyNumberFormat="1" applyFont="1" applyFill="1" applyBorder="1"/>
    <xf numFmtId="3" fontId="15" fillId="45" borderId="0" xfId="0" applyNumberFormat="1" applyFont="1" applyFill="1" applyBorder="1"/>
    <xf numFmtId="0" fontId="14" fillId="0" borderId="10" xfId="0" applyFont="1" applyFill="1" applyBorder="1"/>
    <xf numFmtId="165" fontId="14" fillId="0" borderId="34" xfId="0" applyNumberFormat="1" applyFont="1" applyFill="1" applyBorder="1"/>
    <xf numFmtId="165" fontId="14" fillId="0" borderId="25" xfId="0" applyNumberFormat="1" applyFont="1" applyFill="1" applyBorder="1"/>
    <xf numFmtId="165" fontId="14" fillId="0" borderId="2" xfId="0" applyNumberFormat="1" applyFont="1" applyFill="1" applyBorder="1"/>
    <xf numFmtId="165" fontId="14" fillId="0" borderId="11" xfId="0" applyNumberFormat="1" applyFont="1" applyFill="1" applyBorder="1"/>
    <xf numFmtId="165" fontId="51" fillId="0" borderId="18" xfId="0" applyNumberFormat="1" applyFont="1" applyFill="1" applyBorder="1"/>
    <xf numFmtId="165" fontId="51" fillId="0" borderId="19" xfId="0" applyNumberFormat="1" applyFont="1" applyFill="1" applyBorder="1"/>
    <xf numFmtId="165" fontId="51" fillId="0" borderId="0" xfId="0" applyNumberFormat="1" applyFont="1" applyFill="1" applyBorder="1"/>
    <xf numFmtId="165" fontId="51" fillId="0" borderId="10" xfId="0" applyNumberFormat="1" applyFont="1" applyFill="1" applyBorder="1"/>
    <xf numFmtId="0" fontId="14" fillId="0" borderId="66" xfId="0" applyFont="1" applyFill="1" applyBorder="1"/>
    <xf numFmtId="0" fontId="14" fillId="0" borderId="67" xfId="0" applyFont="1" applyFill="1" applyBorder="1"/>
    <xf numFmtId="0" fontId="7" fillId="0" borderId="0" xfId="0" applyFont="1" applyAlignment="1">
      <alignment horizontal="center"/>
    </xf>
    <xf numFmtId="44" fontId="0" fillId="0" borderId="0" xfId="8" applyFont="1"/>
    <xf numFmtId="0" fontId="7" fillId="0" borderId="28" xfId="0" applyFont="1" applyBorder="1"/>
    <xf numFmtId="44" fontId="7" fillId="0" borderId="31" xfId="8" applyFont="1" applyBorder="1"/>
    <xf numFmtId="0" fontId="7" fillId="2" borderId="28" xfId="0" applyFont="1" applyFill="1" applyBorder="1"/>
    <xf numFmtId="44" fontId="7" fillId="2" borderId="31" xfId="0" applyNumberFormat="1" applyFont="1" applyFill="1" applyBorder="1"/>
    <xf numFmtId="0" fontId="22" fillId="0" borderId="14" xfId="0" applyFont="1" applyFill="1" applyBorder="1" applyAlignment="1">
      <alignment horizontal="center" vertical="center"/>
    </xf>
    <xf numFmtId="167" fontId="22" fillId="0" borderId="14" xfId="1" applyNumberFormat="1" applyFont="1" applyFill="1" applyBorder="1" applyAlignment="1">
      <alignment horizontal="center" vertical="center"/>
    </xf>
    <xf numFmtId="167" fontId="22" fillId="0" borderId="13" xfId="1" applyNumberFormat="1" applyFont="1" applyFill="1" applyBorder="1" applyAlignment="1">
      <alignment horizontal="center" vertical="center"/>
    </xf>
    <xf numFmtId="167" fontId="22" fillId="0" borderId="30" xfId="1" applyNumberFormat="1" applyFont="1" applyFill="1" applyBorder="1" applyAlignment="1">
      <alignment horizontal="center" vertical="center"/>
    </xf>
    <xf numFmtId="6" fontId="0" fillId="0" borderId="0" xfId="0" quotePrefix="1" applyNumberFormat="1"/>
    <xf numFmtId="0" fontId="0" fillId="0" borderId="0" xfId="0" quotePrefix="1"/>
    <xf numFmtId="3" fontId="13" fillId="0" borderId="15" xfId="0" applyNumberFormat="1" applyFont="1" applyFill="1" applyBorder="1" applyAlignment="1">
      <alignment horizontal="right"/>
    </xf>
    <xf numFmtId="3" fontId="13" fillId="0" borderId="17" xfId="0" applyNumberFormat="1" applyFont="1" applyFill="1" applyBorder="1" applyAlignment="1">
      <alignment horizontal="right"/>
    </xf>
    <xf numFmtId="167" fontId="13" fillId="0" borderId="13" xfId="0" applyNumberFormat="1" applyFont="1" applyFill="1" applyBorder="1" applyAlignment="1">
      <alignment horizontal="right"/>
    </xf>
    <xf numFmtId="167" fontId="13" fillId="0" borderId="13" xfId="1" applyNumberFormat="1" applyFont="1" applyFill="1" applyBorder="1" applyAlignment="1">
      <alignment horizontal="right"/>
    </xf>
    <xf numFmtId="0" fontId="51" fillId="0" borderId="12" xfId="0" applyFont="1" applyFill="1" applyBorder="1"/>
    <xf numFmtId="165" fontId="51" fillId="0" borderId="13" xfId="0" applyNumberFormat="1" applyFont="1" applyFill="1" applyBorder="1"/>
    <xf numFmtId="167" fontId="51" fillId="0" borderId="13" xfId="1" applyNumberFormat="1" applyFont="1" applyFill="1" applyBorder="1"/>
    <xf numFmtId="167" fontId="51" fillId="0" borderId="14" xfId="1" applyNumberFormat="1" applyFont="1" applyFill="1" applyBorder="1"/>
    <xf numFmtId="0" fontId="54" fillId="16" borderId="0" xfId="0" applyFont="1" applyFill="1"/>
    <xf numFmtId="0" fontId="56" fillId="47" borderId="34" xfId="0" applyFont="1" applyFill="1" applyBorder="1" applyAlignment="1">
      <alignment horizontal="center" vertical="center"/>
    </xf>
    <xf numFmtId="0" fontId="56" fillId="47" borderId="25" xfId="0" applyFont="1" applyFill="1" applyBorder="1" applyAlignment="1">
      <alignment horizontal="center" vertical="center"/>
    </xf>
    <xf numFmtId="0" fontId="54" fillId="16" borderId="68" xfId="0" applyFont="1" applyFill="1" applyBorder="1" applyAlignment="1">
      <alignment vertical="center"/>
    </xf>
    <xf numFmtId="0" fontId="54" fillId="16" borderId="17" xfId="0" applyFont="1" applyFill="1" applyBorder="1" applyAlignment="1">
      <alignment vertical="center" wrapText="1"/>
    </xf>
    <xf numFmtId="0" fontId="54" fillId="16" borderId="69" xfId="0" applyFont="1" applyFill="1" applyBorder="1" applyAlignment="1">
      <alignment vertical="center" wrapText="1"/>
    </xf>
    <xf numFmtId="0" fontId="54" fillId="16" borderId="19" xfId="0" applyFont="1" applyFill="1" applyBorder="1" applyAlignment="1">
      <alignment vertical="center"/>
    </xf>
    <xf numFmtId="0" fontId="54" fillId="16" borderId="69" xfId="0" applyFont="1" applyFill="1" applyBorder="1"/>
    <xf numFmtId="0" fontId="54" fillId="16" borderId="70" xfId="0" applyFont="1" applyFill="1" applyBorder="1"/>
    <xf numFmtId="0" fontId="54" fillId="16" borderId="21" xfId="0" applyFont="1" applyFill="1" applyBorder="1" applyAlignment="1">
      <alignment vertical="center"/>
    </xf>
    <xf numFmtId="165" fontId="14" fillId="0" borderId="0" xfId="0" applyNumberFormat="1" applyFont="1" applyFill="1" applyBorder="1"/>
    <xf numFmtId="167" fontId="15" fillId="0" borderId="22" xfId="0" applyNumberFormat="1" applyFont="1" applyFill="1" applyBorder="1"/>
    <xf numFmtId="165" fontId="15" fillId="0" borderId="0" xfId="0" applyNumberFormat="1" applyFont="1" applyFill="1" applyBorder="1"/>
    <xf numFmtId="0" fontId="7" fillId="0" borderId="0" xfId="0" applyFont="1" applyAlignment="1">
      <alignment wrapText="1"/>
    </xf>
    <xf numFmtId="165" fontId="7" fillId="0" borderId="2" xfId="0" applyNumberFormat="1" applyFont="1" applyBorder="1"/>
    <xf numFmtId="0" fontId="59" fillId="0" borderId="9" xfId="0" applyFont="1" applyFill="1" applyBorder="1"/>
    <xf numFmtId="0" fontId="7" fillId="0" borderId="50" xfId="0" applyFont="1" applyBorder="1" applyAlignment="1">
      <alignment wrapText="1"/>
    </xf>
    <xf numFmtId="0" fontId="0" fillId="0" borderId="51" xfId="0" applyBorder="1"/>
    <xf numFmtId="3" fontId="0" fillId="0" borderId="51" xfId="0" applyNumberFormat="1" applyBorder="1"/>
    <xf numFmtId="0" fontId="0" fillId="0" borderId="26" xfId="0" applyBorder="1"/>
    <xf numFmtId="169" fontId="0" fillId="0" borderId="2" xfId="0" applyNumberFormat="1" applyBorder="1"/>
    <xf numFmtId="173" fontId="0" fillId="0" borderId="0" xfId="1" applyNumberFormat="1" applyFont="1" applyBorder="1"/>
    <xf numFmtId="0" fontId="7" fillId="6" borderId="50" xfId="0" applyFont="1" applyFill="1" applyBorder="1" applyAlignment="1">
      <alignment horizontal="center" vertical="center"/>
    </xf>
    <xf numFmtId="165" fontId="7" fillId="0" borderId="0" xfId="0" applyNumberFormat="1" applyFont="1"/>
    <xf numFmtId="0" fontId="0" fillId="0" borderId="0" xfId="0" applyAlignment="1">
      <alignment horizontal="left" indent="1"/>
    </xf>
    <xf numFmtId="167" fontId="0" fillId="0" borderId="0" xfId="0" applyNumberFormat="1" applyAlignment="1">
      <alignment wrapText="1"/>
    </xf>
    <xf numFmtId="173" fontId="0" fillId="0" borderId="2" xfId="0" applyNumberFormat="1" applyBorder="1"/>
    <xf numFmtId="167" fontId="7" fillId="0" borderId="0" xfId="0" applyNumberFormat="1" applyFont="1"/>
    <xf numFmtId="174" fontId="0" fillId="0" borderId="0" xfId="0" applyNumberFormat="1"/>
    <xf numFmtId="0" fontId="7" fillId="0" borderId="15" xfId="0" applyFont="1" applyBorder="1"/>
    <xf numFmtId="0" fontId="0" fillId="0" borderId="16" xfId="0" applyBorder="1"/>
    <xf numFmtId="0" fontId="0" fillId="0" borderId="17" xfId="0" applyBorder="1"/>
    <xf numFmtId="0" fontId="0" fillId="0" borderId="18" xfId="0" applyBorder="1"/>
    <xf numFmtId="0" fontId="7" fillId="0" borderId="18" xfId="0" applyFont="1" applyBorder="1" applyAlignment="1">
      <alignment horizontal="right"/>
    </xf>
    <xf numFmtId="0" fontId="7" fillId="0" borderId="0" xfId="0" applyFont="1" applyBorder="1" applyAlignment="1">
      <alignment horizontal="right"/>
    </xf>
    <xf numFmtId="0" fontId="7" fillId="0" borderId="19" xfId="0" applyFont="1" applyBorder="1" applyAlignment="1">
      <alignment horizontal="right"/>
    </xf>
    <xf numFmtId="173" fontId="0" fillId="0" borderId="18" xfId="1" applyNumberFormat="1" applyFont="1" applyBorder="1"/>
    <xf numFmtId="173" fontId="0" fillId="0" borderId="19" xfId="1" applyNumberFormat="1" applyFont="1" applyBorder="1"/>
    <xf numFmtId="164" fontId="0" fillId="0" borderId="18" xfId="1" applyNumberFormat="1" applyFont="1" applyBorder="1"/>
    <xf numFmtId="169" fontId="0" fillId="0" borderId="25" xfId="0" applyNumberFormat="1" applyBorder="1"/>
    <xf numFmtId="169" fontId="0" fillId="0" borderId="18" xfId="0" applyNumberFormat="1" applyBorder="1"/>
    <xf numFmtId="169" fontId="0" fillId="0" borderId="0" xfId="0" applyNumberFormat="1" applyBorder="1"/>
    <xf numFmtId="173" fontId="0" fillId="0" borderId="34" xfId="1" applyNumberFormat="1" applyFont="1" applyBorder="1"/>
    <xf numFmtId="173" fontId="0" fillId="0" borderId="25" xfId="1" applyNumberFormat="1" applyFont="1" applyBorder="1"/>
    <xf numFmtId="173" fontId="0" fillId="0" borderId="34" xfId="0" applyNumberFormat="1" applyBorder="1"/>
    <xf numFmtId="173" fontId="0" fillId="0" borderId="25" xfId="0" applyNumberFormat="1" applyBorder="1"/>
    <xf numFmtId="0" fontId="0" fillId="0" borderId="20" xfId="0" applyBorder="1"/>
    <xf numFmtId="0" fontId="0" fillId="0" borderId="50" xfId="0" applyBorder="1"/>
    <xf numFmtId="0" fontId="7" fillId="0" borderId="51" xfId="0" applyFont="1" applyBorder="1"/>
    <xf numFmtId="173" fontId="0" fillId="0" borderId="0" xfId="1" applyNumberFormat="1" applyFont="1" applyFill="1"/>
    <xf numFmtId="0" fontId="7" fillId="6" borderId="50" xfId="0" applyFont="1" applyFill="1" applyBorder="1" applyAlignment="1">
      <alignment horizontal="center" vertical="center"/>
    </xf>
    <xf numFmtId="10" fontId="0" fillId="50" borderId="3" xfId="10" applyNumberFormat="1" applyFont="1" applyFill="1" applyBorder="1" applyAlignment="1">
      <alignment horizontal="center" vertical="center"/>
    </xf>
    <xf numFmtId="10" fontId="0" fillId="0" borderId="3" xfId="10" applyNumberFormat="1" applyFont="1" applyBorder="1" applyAlignment="1">
      <alignment horizontal="center" vertical="center"/>
    </xf>
    <xf numFmtId="165" fontId="0" fillId="50" borderId="3" xfId="9" applyNumberFormat="1" applyFont="1" applyFill="1" applyBorder="1" applyAlignment="1">
      <alignment horizontal="center" vertical="center"/>
    </xf>
    <xf numFmtId="0" fontId="6" fillId="0" borderId="34" xfId="0" applyFont="1" applyBorder="1" applyAlignment="1">
      <alignment horizontal="right"/>
    </xf>
    <xf numFmtId="165" fontId="7" fillId="50" borderId="3" xfId="9" applyNumberFormat="1" applyFont="1" applyFill="1" applyBorder="1" applyAlignment="1">
      <alignment horizontal="center" vertical="center"/>
    </xf>
    <xf numFmtId="165" fontId="7" fillId="0" borderId="3" xfId="9" applyNumberFormat="1" applyFont="1" applyBorder="1" applyAlignment="1">
      <alignment horizontal="center" vertical="center"/>
    </xf>
    <xf numFmtId="10" fontId="0" fillId="0" borderId="0" xfId="10" applyNumberFormat="1" applyFont="1"/>
    <xf numFmtId="0" fontId="57" fillId="0" borderId="0" xfId="0" applyFont="1"/>
    <xf numFmtId="10" fontId="6" fillId="0" borderId="0" xfId="10" applyNumberFormat="1" applyFont="1" applyBorder="1" applyAlignment="1">
      <alignment horizontal="center" vertical="center"/>
    </xf>
    <xf numFmtId="0" fontId="7" fillId="6" borderId="50" xfId="0" applyFont="1" applyFill="1" applyBorder="1" applyAlignment="1">
      <alignment horizontal="center" vertical="center"/>
    </xf>
    <xf numFmtId="165" fontId="0" fillId="0" borderId="3" xfId="0" applyNumberFormat="1" applyBorder="1"/>
    <xf numFmtId="175" fontId="0" fillId="0" borderId="3" xfId="10" applyNumberFormat="1" applyFont="1" applyBorder="1"/>
    <xf numFmtId="175" fontId="0" fillId="0" borderId="3" xfId="0" applyNumberFormat="1" applyBorder="1"/>
    <xf numFmtId="165" fontId="62" fillId="0" borderId="0" xfId="0" applyNumberFormat="1" applyFont="1" applyFill="1"/>
    <xf numFmtId="165" fontId="62" fillId="0" borderId="0" xfId="68" applyNumberFormat="1" applyFont="1" applyFill="1"/>
    <xf numFmtId="0" fontId="62" fillId="0" borderId="0" xfId="0" applyFont="1" applyFill="1"/>
    <xf numFmtId="0" fontId="9" fillId="0" borderId="0" xfId="0" applyFont="1" applyAlignment="1">
      <alignment horizontal="left"/>
    </xf>
    <xf numFmtId="0" fontId="0" fillId="0" borderId="71" xfId="0" applyBorder="1"/>
    <xf numFmtId="0" fontId="17" fillId="0" borderId="51" xfId="0" applyFont="1" applyBorder="1"/>
    <xf numFmtId="164" fontId="0" fillId="0" borderId="0" xfId="1" applyNumberFormat="1" applyFont="1" applyFill="1" applyBorder="1"/>
    <xf numFmtId="165" fontId="0" fillId="0" borderId="2" xfId="1" applyNumberFormat="1" applyFont="1" applyFill="1" applyBorder="1"/>
    <xf numFmtId="164" fontId="0" fillId="0" borderId="0" xfId="1" applyFont="1" applyFill="1" applyBorder="1"/>
    <xf numFmtId="165" fontId="0" fillId="0" borderId="2" xfId="0" applyNumberFormat="1" applyFill="1" applyBorder="1"/>
    <xf numFmtId="165" fontId="7" fillId="0" borderId="5" xfId="0" applyNumberFormat="1" applyFont="1" applyFill="1" applyBorder="1"/>
    <xf numFmtId="165" fontId="0" fillId="0" borderId="13" xfId="0" applyNumberFormat="1" applyFill="1" applyBorder="1"/>
    <xf numFmtId="165" fontId="0" fillId="0" borderId="7" xfId="1" applyNumberFormat="1" applyFont="1" applyFill="1" applyBorder="1"/>
    <xf numFmtId="165" fontId="7" fillId="0" borderId="0" xfId="1" applyNumberFormat="1" applyFont="1" applyFill="1" applyBorder="1"/>
    <xf numFmtId="165" fontId="0" fillId="0" borderId="13" xfId="1" applyNumberFormat="1" applyFont="1" applyFill="1" applyBorder="1"/>
    <xf numFmtId="165" fontId="7" fillId="0" borderId="7" xfId="0" applyNumberFormat="1" applyFont="1" applyFill="1" applyBorder="1" applyAlignment="1">
      <alignment horizontal="right"/>
    </xf>
    <xf numFmtId="165" fontId="7" fillId="0" borderId="0" xfId="0" applyNumberFormat="1" applyFont="1" applyFill="1" applyBorder="1"/>
    <xf numFmtId="0" fontId="0" fillId="0" borderId="3" xfId="0" applyFill="1" applyBorder="1" applyAlignment="1">
      <alignment horizontal="left" indent="1"/>
    </xf>
    <xf numFmtId="0" fontId="14" fillId="51" borderId="0" xfId="0" applyFont="1" applyFill="1" applyBorder="1" applyAlignment="1">
      <alignment horizontal="left" indent="1"/>
    </xf>
    <xf numFmtId="0" fontId="0" fillId="51" borderId="0" xfId="0" applyFill="1" applyAlignment="1">
      <alignment horizontal="left" indent="1"/>
    </xf>
    <xf numFmtId="0" fontId="12" fillId="51" borderId="0" xfId="0" applyFont="1" applyFill="1" applyBorder="1"/>
    <xf numFmtId="0" fontId="13" fillId="51" borderId="0" xfId="0" applyFont="1" applyFill="1" applyBorder="1" applyAlignment="1">
      <alignment horizontal="right"/>
    </xf>
    <xf numFmtId="0" fontId="0" fillId="51" borderId="0" xfId="0" applyFill="1"/>
    <xf numFmtId="0" fontId="13" fillId="51" borderId="0" xfId="0" applyFont="1" applyFill="1" applyBorder="1" applyAlignment="1">
      <alignment horizontal="right" wrapText="1"/>
    </xf>
    <xf numFmtId="0" fontId="14" fillId="51" borderId="0" xfId="0" applyFont="1" applyFill="1" applyBorder="1"/>
    <xf numFmtId="165" fontId="15" fillId="51" borderId="0" xfId="1" applyNumberFormat="1" applyFont="1" applyFill="1" applyBorder="1"/>
    <xf numFmtId="0" fontId="0" fillId="51" borderId="0" xfId="0" applyFill="1" applyAlignment="1">
      <alignment wrapText="1"/>
    </xf>
    <xf numFmtId="165" fontId="0" fillId="51" borderId="0" xfId="0" applyNumberFormat="1" applyFill="1"/>
    <xf numFmtId="165" fontId="14" fillId="51" borderId="0" xfId="1" applyNumberFormat="1" applyFont="1" applyFill="1" applyBorder="1"/>
    <xf numFmtId="165" fontId="6" fillId="51" borderId="0" xfId="69" applyNumberFormat="1" applyFont="1" applyFill="1" applyBorder="1"/>
    <xf numFmtId="165" fontId="15" fillId="52" borderId="0" xfId="1" applyNumberFormat="1" applyFont="1" applyFill="1" applyBorder="1"/>
    <xf numFmtId="167" fontId="6" fillId="51" borderId="0" xfId="1" applyNumberFormat="1" applyFont="1" applyFill="1"/>
    <xf numFmtId="167" fontId="0" fillId="51" borderId="0" xfId="1" applyNumberFormat="1" applyFont="1" applyFill="1"/>
    <xf numFmtId="167" fontId="15" fillId="51" borderId="0" xfId="1" applyNumberFormat="1" applyFont="1" applyFill="1" applyBorder="1"/>
    <xf numFmtId="167" fontId="15" fillId="52" borderId="0" xfId="1" applyNumberFormat="1" applyFont="1" applyFill="1" applyBorder="1"/>
    <xf numFmtId="0" fontId="8" fillId="51" borderId="0" xfId="0" applyFont="1" applyFill="1" applyAlignment="1">
      <alignment wrapText="1"/>
    </xf>
    <xf numFmtId="0" fontId="7" fillId="51" borderId="0" xfId="0" applyNumberFormat="1" applyFont="1" applyFill="1" applyAlignment="1">
      <alignment horizontal="center"/>
    </xf>
    <xf numFmtId="0" fontId="0" fillId="51" borderId="0" xfId="0" applyNumberFormat="1" applyFill="1" applyAlignment="1">
      <alignment horizontal="center"/>
    </xf>
    <xf numFmtId="0" fontId="0" fillId="51" borderId="0" xfId="8" applyNumberFormat="1" applyFont="1" applyFill="1" applyAlignment="1">
      <alignment horizontal="center"/>
    </xf>
    <xf numFmtId="0" fontId="7" fillId="51" borderId="27" xfId="8" applyNumberFormat="1" applyFont="1" applyFill="1" applyBorder="1" applyAlignment="1">
      <alignment horizontal="center"/>
    </xf>
    <xf numFmtId="0" fontId="7" fillId="51" borderId="27" xfId="0" applyNumberFormat="1" applyFont="1" applyFill="1" applyBorder="1" applyAlignment="1">
      <alignment horizontal="center"/>
    </xf>
    <xf numFmtId="0" fontId="7" fillId="51" borderId="31" xfId="8" applyNumberFormat="1" applyFont="1" applyFill="1" applyBorder="1" applyAlignment="1">
      <alignment horizontal="center"/>
    </xf>
    <xf numFmtId="0" fontId="7" fillId="51" borderId="31" xfId="0" applyNumberFormat="1" applyFont="1" applyFill="1" applyBorder="1" applyAlignment="1">
      <alignment horizontal="center"/>
    </xf>
    <xf numFmtId="0" fontId="0" fillId="51" borderId="0" xfId="0" applyNumberFormat="1" applyFill="1" applyAlignment="1">
      <alignment horizontal="center" vertical="center"/>
    </xf>
    <xf numFmtId="0" fontId="7" fillId="51" borderId="31" xfId="8" applyNumberFormat="1" applyFont="1" applyFill="1" applyBorder="1" applyAlignment="1">
      <alignment horizontal="center" vertical="center"/>
    </xf>
    <xf numFmtId="0" fontId="7" fillId="51" borderId="28" xfId="0" applyFont="1" applyFill="1" applyBorder="1" applyAlignment="1">
      <alignment horizontal="center"/>
    </xf>
    <xf numFmtId="0" fontId="0" fillId="51" borderId="42" xfId="0" applyFill="1" applyBorder="1" applyAlignment="1">
      <alignment horizontal="center"/>
    </xf>
    <xf numFmtId="0" fontId="0" fillId="51" borderId="43" xfId="0" applyFill="1" applyBorder="1" applyAlignment="1">
      <alignment horizontal="center"/>
    </xf>
    <xf numFmtId="0" fontId="0" fillId="51" borderId="44" xfId="0" applyFill="1" applyBorder="1" applyAlignment="1">
      <alignment horizontal="center"/>
    </xf>
    <xf numFmtId="0" fontId="0" fillId="51" borderId="41" xfId="0" applyFill="1" applyBorder="1" applyAlignment="1">
      <alignment horizontal="center"/>
    </xf>
    <xf numFmtId="0" fontId="0" fillId="51" borderId="45" xfId="0" applyFill="1" applyBorder="1" applyAlignment="1">
      <alignment horizontal="center"/>
    </xf>
    <xf numFmtId="1" fontId="0" fillId="51" borderId="46" xfId="0" applyNumberFormat="1" applyFill="1" applyBorder="1" applyAlignment="1">
      <alignment horizontal="center"/>
    </xf>
    <xf numFmtId="1" fontId="0" fillId="51" borderId="41" xfId="0" applyNumberFormat="1" applyFill="1" applyBorder="1" applyAlignment="1">
      <alignment horizontal="center"/>
    </xf>
    <xf numFmtId="1" fontId="0" fillId="51" borderId="45" xfId="0" applyNumberFormat="1" applyFill="1" applyBorder="1" applyAlignment="1">
      <alignment horizontal="center"/>
    </xf>
    <xf numFmtId="0" fontId="0" fillId="51" borderId="46" xfId="0" applyFill="1" applyBorder="1" applyAlignment="1">
      <alignment horizontal="center"/>
    </xf>
    <xf numFmtId="1" fontId="0" fillId="51" borderId="47" xfId="0" applyNumberFormat="1" applyFill="1" applyBorder="1" applyAlignment="1">
      <alignment horizontal="center"/>
    </xf>
    <xf numFmtId="0" fontId="0" fillId="51" borderId="47" xfId="0" applyFill="1" applyBorder="1" applyAlignment="1">
      <alignment horizontal="center"/>
    </xf>
    <xf numFmtId="0" fontId="0" fillId="51" borderId="48" xfId="0" applyFill="1" applyBorder="1" applyAlignment="1">
      <alignment horizontal="center"/>
    </xf>
    <xf numFmtId="0" fontId="0" fillId="51" borderId="49" xfId="0" applyFill="1" applyBorder="1" applyAlignment="1">
      <alignment horizontal="center"/>
    </xf>
    <xf numFmtId="1" fontId="0" fillId="51" borderId="48" xfId="0" applyNumberFormat="1" applyFill="1" applyBorder="1" applyAlignment="1">
      <alignment horizontal="center"/>
    </xf>
    <xf numFmtId="0" fontId="7" fillId="51" borderId="26" xfId="0" applyFont="1" applyFill="1" applyBorder="1"/>
    <xf numFmtId="0" fontId="7" fillId="51" borderId="3" xfId="0" applyFont="1" applyFill="1" applyBorder="1"/>
    <xf numFmtId="1" fontId="7" fillId="51" borderId="3" xfId="0" applyNumberFormat="1" applyFont="1" applyFill="1" applyBorder="1" applyAlignment="1">
      <alignment horizontal="center" vertical="center"/>
    </xf>
    <xf numFmtId="0" fontId="0" fillId="51" borderId="32" xfId="0" applyFont="1" applyFill="1" applyBorder="1" applyAlignment="1">
      <alignment horizontal="center"/>
    </xf>
    <xf numFmtId="0" fontId="0" fillId="51" borderId="33" xfId="0" applyFont="1" applyFill="1" applyBorder="1" applyAlignment="1">
      <alignment horizontal="center"/>
    </xf>
    <xf numFmtId="0" fontId="0" fillId="51" borderId="0" xfId="0" applyFont="1" applyFill="1" applyAlignment="1">
      <alignment horizontal="right"/>
    </xf>
    <xf numFmtId="168" fontId="0" fillId="51" borderId="0" xfId="8" applyNumberFormat="1" applyFont="1" applyFill="1"/>
    <xf numFmtId="0" fontId="7" fillId="51" borderId="3" xfId="0" applyFont="1" applyFill="1" applyBorder="1" applyAlignment="1">
      <alignment horizontal="center"/>
    </xf>
    <xf numFmtId="0" fontId="7" fillId="6" borderId="50" xfId="0" applyFont="1" applyFill="1" applyBorder="1" applyAlignment="1">
      <alignment horizontal="center" vertical="center"/>
    </xf>
    <xf numFmtId="173" fontId="0" fillId="0" borderId="20" xfId="1" applyNumberFormat="1" applyFont="1" applyBorder="1"/>
    <xf numFmtId="173" fontId="0" fillId="0" borderId="4" xfId="1" applyNumberFormat="1" applyFont="1" applyBorder="1"/>
    <xf numFmtId="173" fontId="0" fillId="0" borderId="21" xfId="1" applyNumberFormat="1" applyFont="1" applyBorder="1"/>
    <xf numFmtId="0" fontId="8" fillId="0" borderId="51" xfId="0" applyFont="1" applyBorder="1"/>
    <xf numFmtId="15" fontId="25" fillId="51" borderId="0" xfId="12" applyNumberFormat="1" applyFill="1"/>
    <xf numFmtId="0" fontId="25" fillId="51" borderId="0" xfId="12" applyFill="1" applyBorder="1" applyAlignment="1">
      <alignment horizontal="center"/>
    </xf>
    <xf numFmtId="0" fontId="25" fillId="51" borderId="0" xfId="12" applyFill="1" applyAlignment="1">
      <alignment horizontal="center"/>
    </xf>
    <xf numFmtId="171" fontId="25" fillId="51" borderId="0" xfId="12" applyNumberFormat="1" applyFill="1" applyBorder="1"/>
    <xf numFmtId="0" fontId="25" fillId="51" borderId="0" xfId="12" applyFill="1" applyBorder="1" applyAlignment="1">
      <alignment horizontal="left"/>
    </xf>
    <xf numFmtId="0" fontId="25" fillId="51" borderId="0" xfId="12" applyFill="1" applyBorder="1"/>
    <xf numFmtId="0" fontId="25" fillId="51" borderId="0" xfId="12" applyFill="1"/>
    <xf numFmtId="43" fontId="25" fillId="51" borderId="0" xfId="13" applyFill="1" applyBorder="1"/>
    <xf numFmtId="43" fontId="25" fillId="51" borderId="0" xfId="13" applyFont="1" applyFill="1" applyBorder="1"/>
    <xf numFmtId="172" fontId="25" fillId="51" borderId="0" xfId="12" applyNumberFormat="1" applyFill="1" applyBorder="1"/>
    <xf numFmtId="43" fontId="29" fillId="51" borderId="0" xfId="13" applyFont="1" applyFill="1" applyBorder="1"/>
    <xf numFmtId="0" fontId="25" fillId="51" borderId="0" xfId="12" applyFill="1" applyAlignment="1">
      <alignment horizontal="left"/>
    </xf>
    <xf numFmtId="43" fontId="25" fillId="51" borderId="0" xfId="13" applyFill="1"/>
    <xf numFmtId="15" fontId="25" fillId="51" borderId="13" xfId="12" applyNumberFormat="1" applyFill="1" applyBorder="1"/>
    <xf numFmtId="0" fontId="25" fillId="51" borderId="13" xfId="12" applyFill="1" applyBorder="1" applyAlignment="1">
      <alignment horizontal="center"/>
    </xf>
    <xf numFmtId="171" fontId="25" fillId="51" borderId="13" xfId="12" applyNumberFormat="1" applyFill="1" applyBorder="1"/>
    <xf numFmtId="0" fontId="25" fillId="51" borderId="13" xfId="12" applyFill="1" applyBorder="1" applyAlignment="1">
      <alignment horizontal="left"/>
    </xf>
    <xf numFmtId="0" fontId="25" fillId="51" borderId="13" xfId="12" applyFill="1" applyBorder="1"/>
    <xf numFmtId="43" fontId="25" fillId="51" borderId="13" xfId="13" applyFill="1" applyBorder="1"/>
    <xf numFmtId="43" fontId="25" fillId="51" borderId="13" xfId="13" applyFont="1" applyFill="1" applyBorder="1"/>
    <xf numFmtId="172" fontId="25" fillId="51" borderId="13" xfId="12" applyNumberFormat="1" applyFill="1" applyBorder="1"/>
    <xf numFmtId="43" fontId="29" fillId="51" borderId="13" xfId="13" applyFont="1" applyFill="1" applyBorder="1"/>
    <xf numFmtId="15" fontId="25" fillId="51" borderId="0" xfId="12" applyNumberFormat="1" applyFill="1" applyBorder="1"/>
    <xf numFmtId="0" fontId="25" fillId="2" borderId="0" xfId="12" applyFont="1" applyFill="1" applyBorder="1"/>
    <xf numFmtId="0" fontId="25" fillId="2" borderId="13" xfId="12" applyFont="1" applyFill="1" applyBorder="1"/>
    <xf numFmtId="167" fontId="7" fillId="0" borderId="0" xfId="0" applyNumberFormat="1" applyFont="1" applyAlignment="1">
      <alignment horizontal="right"/>
    </xf>
    <xf numFmtId="10" fontId="6" fillId="0" borderId="3" xfId="10" applyNumberFormat="1" applyFont="1" applyBorder="1" applyAlignment="1">
      <alignment horizontal="center" vertical="center"/>
    </xf>
    <xf numFmtId="165" fontId="6" fillId="0" borderId="3" xfId="9" applyNumberFormat="1" applyFont="1" applyBorder="1" applyAlignment="1">
      <alignment horizontal="center" vertical="center"/>
    </xf>
    <xf numFmtId="165" fontId="62" fillId="0" borderId="3" xfId="9" applyNumberFormat="1" applyFont="1" applyBorder="1" applyAlignment="1">
      <alignment horizontal="center" vertical="center"/>
    </xf>
    <xf numFmtId="10" fontId="6" fillId="0" borderId="0" xfId="10" applyNumberFormat="1" applyFont="1"/>
    <xf numFmtId="0" fontId="62" fillId="6" borderId="50" xfId="0" applyFont="1" applyFill="1" applyBorder="1" applyAlignment="1">
      <alignment horizontal="center" vertical="center"/>
    </xf>
    <xf numFmtId="0" fontId="6" fillId="0" borderId="34" xfId="0" applyFont="1" applyBorder="1" applyAlignment="1">
      <alignment wrapText="1"/>
    </xf>
    <xf numFmtId="0" fontId="0" fillId="0" borderId="0" xfId="0" applyBorder="1" applyAlignment="1">
      <alignment wrapText="1"/>
    </xf>
    <xf numFmtId="0" fontId="13" fillId="0" borderId="0" xfId="0" applyFont="1" applyFill="1" applyBorder="1" applyAlignment="1">
      <alignment horizontal="center"/>
    </xf>
    <xf numFmtId="0" fontId="0" fillId="0" borderId="0" xfId="0" applyBorder="1" applyAlignment="1">
      <alignment horizontal="left" indent="1"/>
    </xf>
    <xf numFmtId="0" fontId="0" fillId="0" borderId="3" xfId="0" applyBorder="1" applyAlignment="1">
      <alignment wrapText="1"/>
    </xf>
    <xf numFmtId="1" fontId="0" fillId="51" borderId="3" xfId="0" applyNumberFormat="1" applyFill="1" applyBorder="1"/>
    <xf numFmtId="0" fontId="55" fillId="46" borderId="34" xfId="0" applyFont="1" applyFill="1" applyBorder="1" applyAlignment="1">
      <alignment horizontal="center" vertical="center"/>
    </xf>
    <xf numFmtId="0" fontId="55" fillId="46" borderId="25" xfId="0" applyFont="1" applyFill="1" applyBorder="1" applyAlignment="1">
      <alignment horizontal="center" vertical="center"/>
    </xf>
    <xf numFmtId="0" fontId="54" fillId="16" borderId="15" xfId="0" applyFont="1" applyFill="1" applyBorder="1" applyAlignment="1">
      <alignment horizontal="center" vertical="center" wrapText="1"/>
    </xf>
    <xf numFmtId="0" fontId="54" fillId="16" borderId="17" xfId="0" applyFont="1" applyFill="1" applyBorder="1" applyAlignment="1">
      <alignment horizontal="center" vertical="center" wrapText="1"/>
    </xf>
    <xf numFmtId="0" fontId="54" fillId="16" borderId="18" xfId="0" applyFont="1" applyFill="1" applyBorder="1" applyAlignment="1">
      <alignment horizontal="center" vertical="center" wrapText="1"/>
    </xf>
    <xf numFmtId="0" fontId="54" fillId="16" borderId="19" xfId="0" applyFont="1" applyFill="1" applyBorder="1" applyAlignment="1">
      <alignment horizontal="center" vertical="center" wrapText="1"/>
    </xf>
    <xf numFmtId="0" fontId="54" fillId="16" borderId="20" xfId="0" applyFont="1" applyFill="1" applyBorder="1" applyAlignment="1">
      <alignment horizontal="center" vertical="center" wrapText="1"/>
    </xf>
    <xf numFmtId="0" fontId="54" fillId="16" borderId="21" xfId="0" applyFont="1" applyFill="1" applyBorder="1" applyAlignment="1">
      <alignment horizontal="center" vertical="center" wrapText="1"/>
    </xf>
    <xf numFmtId="0" fontId="7" fillId="3" borderId="15" xfId="0" applyFont="1" applyFill="1" applyBorder="1" applyAlignment="1">
      <alignment horizontal="center"/>
    </xf>
    <xf numFmtId="0" fontId="7" fillId="3" borderId="16" xfId="0" applyFont="1" applyFill="1" applyBorder="1" applyAlignment="1">
      <alignment horizontal="center"/>
    </xf>
    <xf numFmtId="0" fontId="7" fillId="3" borderId="17" xfId="0" applyFont="1" applyFill="1" applyBorder="1" applyAlignment="1">
      <alignment horizontal="center"/>
    </xf>
    <xf numFmtId="0" fontId="7" fillId="16" borderId="50" xfId="0" applyFont="1" applyFill="1" applyBorder="1" applyAlignment="1">
      <alignment horizontal="center" vertical="center" wrapText="1"/>
    </xf>
    <xf numFmtId="0" fontId="7" fillId="16" borderId="51" xfId="0" applyFont="1" applyFill="1" applyBorder="1" applyAlignment="1">
      <alignment horizontal="center" vertical="center" wrapText="1"/>
    </xf>
    <xf numFmtId="0" fontId="7" fillId="16" borderId="26" xfId="0" applyFont="1" applyFill="1" applyBorder="1" applyAlignment="1">
      <alignment horizontal="center" vertical="center" wrapText="1"/>
    </xf>
    <xf numFmtId="0" fontId="7" fillId="0" borderId="0" xfId="0" applyFont="1" applyAlignment="1">
      <alignment horizontal="center"/>
    </xf>
    <xf numFmtId="0" fontId="21" fillId="12" borderId="28" xfId="0" applyFont="1" applyFill="1" applyBorder="1" applyAlignment="1">
      <alignment horizontal="center" vertical="center"/>
    </xf>
    <xf numFmtId="0" fontId="21" fillId="12" borderId="31" xfId="0" applyFont="1" applyFill="1" applyBorder="1" applyAlignment="1">
      <alignment horizontal="center" vertical="center"/>
    </xf>
    <xf numFmtId="0" fontId="21" fillId="12" borderId="29" xfId="0" applyFont="1" applyFill="1" applyBorder="1" applyAlignment="1">
      <alignment horizontal="center" vertical="center"/>
    </xf>
    <xf numFmtId="0" fontId="7" fillId="14" borderId="36" xfId="0" applyFont="1" applyFill="1" applyBorder="1" applyAlignment="1">
      <alignment horizontal="center"/>
    </xf>
    <xf numFmtId="0" fontId="7" fillId="14" borderId="37" xfId="0" applyFont="1" applyFill="1" applyBorder="1" applyAlignment="1">
      <alignment horizontal="center"/>
    </xf>
    <xf numFmtId="0" fontId="7" fillId="0" borderId="0" xfId="0" applyFont="1" applyFill="1" applyBorder="1" applyAlignment="1">
      <alignment horizontal="center"/>
    </xf>
    <xf numFmtId="0" fontId="0" fillId="0" borderId="34" xfId="0" applyFont="1" applyBorder="1" applyAlignment="1">
      <alignment horizontal="left"/>
    </xf>
    <xf numFmtId="0" fontId="0" fillId="0" borderId="2" xfId="0" applyFont="1" applyBorder="1" applyAlignment="1">
      <alignment horizontal="left"/>
    </xf>
    <xf numFmtId="0" fontId="0" fillId="0" borderId="25" xfId="0" applyFont="1" applyBorder="1" applyAlignment="1">
      <alignment horizontal="left"/>
    </xf>
    <xf numFmtId="0" fontId="7" fillId="14" borderId="34" xfId="0" applyFont="1" applyFill="1" applyBorder="1" applyAlignment="1">
      <alignment horizontal="left"/>
    </xf>
    <xf numFmtId="0" fontId="7" fillId="14" borderId="2" xfId="0" applyFont="1" applyFill="1" applyBorder="1" applyAlignment="1">
      <alignment horizontal="left"/>
    </xf>
    <xf numFmtId="0" fontId="7" fillId="14" borderId="25" xfId="0" applyFont="1" applyFill="1" applyBorder="1" applyAlignment="1">
      <alignment horizontal="left"/>
    </xf>
    <xf numFmtId="0" fontId="0" fillId="0" borderId="34"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25" xfId="0" applyFont="1" applyFill="1" applyBorder="1" applyAlignment="1">
      <alignment horizontal="left" vertical="top" wrapText="1"/>
    </xf>
    <xf numFmtId="0" fontId="8" fillId="0" borderId="0" xfId="0" applyFont="1" applyAlignment="1">
      <alignment horizontal="left" vertical="top" wrapText="1"/>
    </xf>
    <xf numFmtId="0" fontId="0" fillId="0" borderId="34" xfId="0" applyFont="1" applyBorder="1" applyAlignment="1">
      <alignment horizontal="left" wrapText="1"/>
    </xf>
    <xf numFmtId="0" fontId="0" fillId="0" borderId="2" xfId="0" applyFont="1" applyBorder="1" applyAlignment="1">
      <alignment horizontal="left" wrapText="1"/>
    </xf>
    <xf numFmtId="0" fontId="0" fillId="0" borderId="25" xfId="0" applyFont="1" applyBorder="1" applyAlignment="1">
      <alignment horizontal="left" wrapText="1"/>
    </xf>
    <xf numFmtId="0" fontId="0" fillId="0" borderId="45" xfId="0" applyBorder="1" applyAlignment="1">
      <alignment horizontal="left"/>
    </xf>
    <xf numFmtId="0" fontId="0" fillId="0" borderId="3" xfId="0" applyBorder="1" applyAlignment="1">
      <alignment horizontal="left"/>
    </xf>
    <xf numFmtId="0" fontId="23" fillId="15" borderId="3" xfId="0" applyFont="1" applyFill="1" applyBorder="1" applyAlignment="1">
      <alignment horizontal="right"/>
    </xf>
    <xf numFmtId="0" fontId="24" fillId="3" borderId="3" xfId="0" applyFont="1" applyFill="1" applyBorder="1" applyAlignment="1">
      <alignment horizontal="center"/>
    </xf>
    <xf numFmtId="0" fontId="7" fillId="6" borderId="50" xfId="0" applyFont="1" applyFill="1" applyBorder="1" applyAlignment="1">
      <alignment horizontal="center" vertical="center"/>
    </xf>
    <xf numFmtId="0" fontId="7" fillId="6" borderId="51" xfId="0" applyFont="1" applyFill="1" applyBorder="1" applyAlignment="1">
      <alignment horizontal="center" vertical="center"/>
    </xf>
    <xf numFmtId="0" fontId="7" fillId="6" borderId="26" xfId="0" applyFont="1" applyFill="1" applyBorder="1" applyAlignment="1">
      <alignment horizontal="center" vertical="center"/>
    </xf>
    <xf numFmtId="0" fontId="7" fillId="8" borderId="3" xfId="0" applyFont="1" applyFill="1" applyBorder="1" applyAlignment="1">
      <alignment horizontal="center"/>
    </xf>
    <xf numFmtId="0" fontId="7" fillId="0" borderId="28" xfId="0" applyFont="1" applyBorder="1" applyAlignment="1">
      <alignment horizontal="center"/>
    </xf>
    <xf numFmtId="0" fontId="7" fillId="0" borderId="31" xfId="0" applyFont="1" applyBorder="1" applyAlignment="1">
      <alignment horizontal="center"/>
    </xf>
    <xf numFmtId="0" fontId="7" fillId="0" borderId="27" xfId="0" applyFont="1" applyBorder="1" applyAlignment="1">
      <alignment horizontal="center"/>
    </xf>
    <xf numFmtId="0" fontId="7" fillId="8" borderId="0" xfId="0" applyFont="1" applyFill="1" applyAlignment="1">
      <alignment horizontal="left"/>
    </xf>
    <xf numFmtId="0" fontId="0" fillId="0" borderId="36" xfId="0" applyBorder="1" applyAlignment="1">
      <alignment horizontal="left"/>
    </xf>
    <xf numFmtId="0" fontId="0" fillId="0" borderId="52" xfId="0" applyBorder="1" applyAlignment="1">
      <alignment horizontal="left"/>
    </xf>
    <xf numFmtId="0" fontId="7" fillId="18" borderId="34" xfId="0" applyFont="1" applyFill="1" applyBorder="1" applyAlignment="1">
      <alignment horizontal="left"/>
    </xf>
    <xf numFmtId="0" fontId="7" fillId="18" borderId="2" xfId="0" applyFont="1" applyFill="1" applyBorder="1" applyAlignment="1">
      <alignment horizontal="left"/>
    </xf>
    <xf numFmtId="0" fontId="7" fillId="18" borderId="25" xfId="0" applyFont="1" applyFill="1" applyBorder="1" applyAlignment="1">
      <alignment horizontal="left"/>
    </xf>
    <xf numFmtId="0" fontId="0" fillId="0" borderId="9" xfId="0" applyBorder="1" applyAlignment="1">
      <alignment horizontal="left"/>
    </xf>
    <xf numFmtId="0" fontId="0" fillId="0" borderId="0" xfId="0" applyBorder="1" applyAlignment="1">
      <alignment horizontal="left"/>
    </xf>
    <xf numFmtId="0" fontId="0" fillId="0" borderId="39" xfId="0" applyBorder="1" applyAlignment="1">
      <alignment horizontal="left"/>
    </xf>
    <xf numFmtId="0" fontId="0" fillId="0" borderId="53" xfId="0" applyBorder="1" applyAlignment="1">
      <alignment horizontal="left"/>
    </xf>
    <xf numFmtId="0" fontId="0" fillId="0" borderId="46" xfId="0" applyBorder="1" applyAlignment="1">
      <alignment horizontal="left"/>
    </xf>
    <xf numFmtId="0" fontId="0" fillId="0" borderId="40" xfId="0" applyBorder="1" applyAlignment="1">
      <alignment horizontal="left"/>
    </xf>
    <xf numFmtId="0" fontId="7" fillId="6" borderId="7" xfId="0" applyFont="1" applyFill="1" applyBorder="1" applyAlignment="1">
      <alignment horizontal="left"/>
    </xf>
    <xf numFmtId="0" fontId="7" fillId="6" borderId="8" xfId="0" applyFont="1" applyFill="1" applyBorder="1" applyAlignment="1">
      <alignment horizontal="left"/>
    </xf>
    <xf numFmtId="0" fontId="7" fillId="14" borderId="3" xfId="0" applyFont="1" applyFill="1" applyBorder="1" applyAlignment="1">
      <alignment horizontal="center" vertical="top" wrapText="1"/>
    </xf>
    <xf numFmtId="0" fontId="7" fillId="14" borderId="3" xfId="0" applyFont="1" applyFill="1" applyBorder="1" applyAlignment="1">
      <alignment horizontal="right"/>
    </xf>
    <xf numFmtId="0" fontId="7" fillId="0" borderId="3" xfId="0" applyFont="1" applyBorder="1" applyAlignment="1">
      <alignment horizontal="left"/>
    </xf>
    <xf numFmtId="0" fontId="7" fillId="0" borderId="46" xfId="0" applyFont="1" applyBorder="1" applyAlignment="1">
      <alignment horizontal="left"/>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26" xfId="0" applyFont="1" applyBorder="1" applyAlignment="1">
      <alignment horizontal="center" vertical="center" wrapText="1"/>
    </xf>
    <xf numFmtId="0" fontId="7" fillId="6" borderId="3" xfId="0" applyFont="1" applyFill="1" applyBorder="1" applyAlignment="1">
      <alignment horizontal="left"/>
    </xf>
    <xf numFmtId="0" fontId="7" fillId="8" borderId="7" xfId="0" applyFont="1" applyFill="1" applyBorder="1" applyAlignment="1">
      <alignment horizontal="left"/>
    </xf>
    <xf numFmtId="0" fontId="0" fillId="0" borderId="34" xfId="0" applyBorder="1" applyAlignment="1">
      <alignment horizontal="left"/>
    </xf>
    <xf numFmtId="0" fontId="0" fillId="0" borderId="2" xfId="0" applyBorder="1" applyAlignment="1">
      <alignment horizontal="left"/>
    </xf>
    <xf numFmtId="0" fontId="0" fillId="0" borderId="25" xfId="0" applyBorder="1" applyAlignment="1">
      <alignment horizontal="left"/>
    </xf>
  </cellXfs>
  <cellStyles count="70">
    <cellStyle name="20% - Accent1 2" xfId="15"/>
    <cellStyle name="20% - Accent2 2" xfId="16"/>
    <cellStyle name="20% - Accent3 2" xfId="14"/>
    <cellStyle name="20% - Accent4 2" xfId="17"/>
    <cellStyle name="20% - Accent5 2" xfId="18"/>
    <cellStyle name="20% - Accent6 2" xfId="19"/>
    <cellStyle name="40% - Accent1 2" xfId="20"/>
    <cellStyle name="40% - Accent2 2" xfId="21"/>
    <cellStyle name="40% - Accent3 2" xfId="22"/>
    <cellStyle name="40% - Accent4 2" xfId="23"/>
    <cellStyle name="40% - Accent5 2" xfId="24"/>
    <cellStyle name="40% - Accent6 2" xfId="25"/>
    <cellStyle name="60% - Accent1 2" xfId="26"/>
    <cellStyle name="60% - Accent2 2" xfId="27"/>
    <cellStyle name="60% - Accent3 2" xfId="28"/>
    <cellStyle name="60% - Accent4 2" xfId="29"/>
    <cellStyle name="60% - Accent5 2" xfId="30"/>
    <cellStyle name="60% - Accent6 2" xfId="31"/>
    <cellStyle name="Accent1 2" xfId="32"/>
    <cellStyle name="Accent2 2" xfId="33"/>
    <cellStyle name="Accent3 2" xfId="34"/>
    <cellStyle name="Accent4 2" xfId="35"/>
    <cellStyle name="Accent5 2" xfId="36"/>
    <cellStyle name="Accent6" xfId="69" builtinId="49"/>
    <cellStyle name="Accent6 2" xfId="37"/>
    <cellStyle name="Assumptions Heading" xfId="4"/>
    <cellStyle name="Assumptions Right Number" xfId="6"/>
    <cellStyle name="Bad 2" xfId="38"/>
    <cellStyle name="Calculation 2" xfId="39"/>
    <cellStyle name="Cell Link" xfId="3"/>
    <cellStyle name="Check Cell 2" xfId="40"/>
    <cellStyle name="Comma" xfId="1" builtinId="3"/>
    <cellStyle name="Comma 2" xfId="9"/>
    <cellStyle name="Comma 3" xfId="13"/>
    <cellStyle name="Comma 4" xfId="41"/>
    <cellStyle name="Comma 4 2" xfId="66"/>
    <cellStyle name="Comma 5" xfId="42"/>
    <cellStyle name="Currency" xfId="8" builtinId="4"/>
    <cellStyle name="Currency 2" xfId="43"/>
    <cellStyle name="Currency 3" xfId="44"/>
    <cellStyle name="Explanatory Text 2" xfId="45"/>
    <cellStyle name="Good" xfId="68" builtinId="26"/>
    <cellStyle name="Good 2" xfId="46"/>
    <cellStyle name="Heading 1 2" xfId="47"/>
    <cellStyle name="Heading 2 2" xfId="48"/>
    <cellStyle name="Heading 3 2" xfId="49"/>
    <cellStyle name="Heading 4 2" xfId="50"/>
    <cellStyle name="Hyperlink Text" xfId="2"/>
    <cellStyle name="Input 2" xfId="51"/>
    <cellStyle name="Linked Cell 2" xfId="52"/>
    <cellStyle name="Neutral 2" xfId="53"/>
    <cellStyle name="Normal" xfId="0" builtinId="0"/>
    <cellStyle name="Normal 2" xfId="54"/>
    <cellStyle name="Normal 2 2" xfId="5"/>
    <cellStyle name="Normal 3" xfId="55"/>
    <cellStyle name="Normal 3 2" xfId="56"/>
    <cellStyle name="Normal 3 3" xfId="57"/>
    <cellStyle name="Normal 4" xfId="11"/>
    <cellStyle name="Normal 4 2" xfId="12"/>
    <cellStyle name="Normal 5" xfId="58"/>
    <cellStyle name="Normal 5 2" xfId="59"/>
    <cellStyle name="Normal 6" xfId="60"/>
    <cellStyle name="Note 2" xfId="61"/>
    <cellStyle name="Output 2" xfId="62"/>
    <cellStyle name="Percent" xfId="10" builtinId="5"/>
    <cellStyle name="Percent 2" xfId="67"/>
    <cellStyle name="PSSpacer" xfId="7"/>
    <cellStyle name="Title 2" xfId="63"/>
    <cellStyle name="Total 2" xfId="64"/>
    <cellStyle name="Warning Text 2"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5374005</xdr:colOff>
      <xdr:row>6</xdr:row>
      <xdr:rowOff>38100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606665" cy="11353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ce%20Review/2016-20%20EDPR/TEAM%20WORKING%20FOLDERS/METERING/Copy%20of%20SPN%20AMI%20financial%20model%20(20140908%20v3%20-%20sent%20to%20Corporate%20Finance%20BOARD%20PAPER%20VERSION)-%20IT%20&amp;%20comms%20opex%20Real$14%20-%202603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ice%20Review/2016-20%20EDPR/TEAM%20WORKING%20FOLDERS/METERING/Draft%20Determination/Revised%20Proposal/AusNet%20Services%20-%20Metering%20post%20tax%20revenue%20model%20and%20exit%20fees%20201115-wo%20IT%20RAB.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ice%20Review/2016-20%20EDPR/TEAM%20WORKING%20FOLDERS/METERING/Copy%20of%20SPN%20AMI%20financial%20model%20(20140908%20v3%20-%20sent%20to%20Corporate%20Finance%20BOARD%20PAPER%20VERSION)-%20IT%20&amp;%20comms%20opex%20Real$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lchhuor\Local%20Settings\Temporary%20Internet%20Files\Content.Outlook\UTJUG3P3\PARPT04AMI%20-%20AMI%20PROJECTS%20-%20Transaction%20Listing%20Report_NO%20SAP%20YT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sheetName val="Contents"/>
      <sheetName val="Inputs_SC"/>
      <sheetName val="General_assump_BA"/>
      <sheetName val="CFCs_OHDs_Fcast"/>
      <sheetName val="OracleActuals_TM1Data"/>
      <sheetName val="OracleActuals_RawData"/>
      <sheetName val="Master_Program"/>
      <sheetName val="Master_BAU"/>
      <sheetName val="BAU_Assumptions"/>
      <sheetName val="BAU_Forecast_Summary (Annual)"/>
      <sheetName val="BusCase_Sep14"/>
      <sheetName val="BusCase_Options"/>
      <sheetName val="Output_SC"/>
      <sheetName val="Resource_forecast_mnthly"/>
      <sheetName val="Program_Seating_forecast_Pivot1"/>
      <sheetName val="Program_Seating_forecast_Pivot2"/>
      <sheetName val="BAU_Headcount_forecast_Pivot1"/>
      <sheetName val="ApprovalReports_Brd1_SSC"/>
      <sheetName val="ApprovalBrd_Apr_to_May14"/>
      <sheetName val="ApprovalReports_Streams1_SSC"/>
      <sheetName val="ApprovalStr_Jun_to_Sep14_v1"/>
      <sheetName val="ApprovalStr_Jun_to_Sep14_Pivot1"/>
      <sheetName val="ApprovalStr_Jun_to_Sep14_Pivot2"/>
      <sheetName val="ApprovalReports_Brd2_SSC"/>
      <sheetName val="ApprovalBrd_Jun_to_Sep14_v1"/>
      <sheetName val="ApprovalBrd_Jun_to_Sep14_v2"/>
      <sheetName val="ApprovalBrd_Jun_to_Sep14_Comp"/>
      <sheetName val="ApprovalBrd_Jun_to_Sep14_Pivot1"/>
      <sheetName val="ApprovalBrd_Jun_to_Sep14_Pivot2"/>
      <sheetName val="ApprovalBrd_Jun_to_Sep14_Pivot3"/>
      <sheetName val="Resource_forecast_wkly"/>
      <sheetName val="Reports_FcastOct14_SSC"/>
      <sheetName val="FcastOct14_Program_Pivot1"/>
      <sheetName val="FcastOct14_Program_Pivot2"/>
      <sheetName val="Sheet2"/>
      <sheetName val="FcastOct14_BAU_Pivot1"/>
      <sheetName val="Financial_Fcasts_SSC"/>
      <sheetName val="FY15_Opex_Analysis"/>
      <sheetName val="BusCaseFormat_Summary_CY"/>
      <sheetName val="Sheet1"/>
      <sheetName val="BusCaseFormat_FY"/>
      <sheetName val="BusCaseFormat_CY"/>
      <sheetName val="BusCaseFormat_Summary_FY"/>
      <sheetName val="BusCaseFormat_Mnthly"/>
      <sheetName val="Stream_Fcasts_SSC"/>
      <sheetName val="StreamFcast2"/>
      <sheetName val="StreamFcast3"/>
      <sheetName val="StreamFcast4"/>
      <sheetName val="StreamFcast1"/>
      <sheetName val="StreamFcast5"/>
      <sheetName val="Misc_Fcasts_SSC"/>
      <sheetName val="Uncommitted_Analysis"/>
      <sheetName val="Charts_SSC"/>
      <sheetName val="Chart_data"/>
      <sheetName val="Charts"/>
      <sheetName val="Appendices_SC"/>
      <sheetName val="Chks_SSC"/>
      <sheetName val="Err_Chks_BO"/>
      <sheetName val="Lookup_SSC"/>
      <sheetName val="CostCentreMapping"/>
      <sheetName val="CostCodeMapping"/>
      <sheetName val="IT_ProjectList"/>
      <sheetName val="Dates_BL"/>
      <sheetName val="OfficeLocations_BL"/>
      <sheetName val="Projects_BL"/>
      <sheetName val="CostTypes_BL"/>
      <sheetName val="Public_hols_BL"/>
      <sheetName val="Annual_leave_BL"/>
      <sheetName val="GL"/>
    </sheetNames>
    <sheetDataSet>
      <sheetData sheetId="0"/>
      <sheetData sheetId="1"/>
      <sheetData sheetId="2"/>
      <sheetData sheetId="3">
        <row r="10">
          <cell r="E10">
            <v>4</v>
          </cell>
        </row>
        <row r="38">
          <cell r="D38" t="b">
            <v>1</v>
          </cell>
        </row>
      </sheetData>
      <sheetData sheetId="4"/>
      <sheetData sheetId="5"/>
      <sheetData sheetId="6"/>
      <sheetData sheetId="7"/>
      <sheetData sheetId="8">
        <row r="20">
          <cell r="AEU20">
            <v>1452497</v>
          </cell>
        </row>
      </sheetData>
      <sheetData sheetId="9"/>
      <sheetData sheetId="10"/>
      <sheetData sheetId="11">
        <row r="14">
          <cell r="R14">
            <v>219418.69999999998</v>
          </cell>
        </row>
      </sheetData>
      <sheetData sheetId="12">
        <row r="7">
          <cell r="C7" t="str">
            <v>Option 1 (Base)</v>
          </cell>
        </row>
        <row r="8">
          <cell r="C8" t="str">
            <v>Option 2</v>
          </cell>
        </row>
        <row r="9">
          <cell r="C9" t="str">
            <v>Option 3</v>
          </cell>
        </row>
        <row r="10">
          <cell r="C10" t="str">
            <v>Option 3.5</v>
          </cell>
        </row>
        <row r="11">
          <cell r="C11" t="str">
            <v>Option 4</v>
          </cell>
        </row>
        <row r="12">
          <cell r="C12" t="str">
            <v>Option 5</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37">
          <cell r="M37">
            <v>1</v>
          </cell>
        </row>
      </sheetData>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Exit Fees Nominal"/>
      <sheetName val="Exit Fees Real $2015"/>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sheetData sheetId="3"/>
      <sheetData sheetId="4">
        <row r="216">
          <cell r="G216">
            <v>2.5000000000000001E-2</v>
          </cell>
        </row>
      </sheetData>
      <sheetData sheetId="5"/>
      <sheetData sheetId="6"/>
      <sheetData sheetId="7"/>
      <sheetData sheetId="8"/>
      <sheetData sheetId="9">
        <row r="47">
          <cell r="G47">
            <v>0.43504917712086366</v>
          </cell>
          <cell r="H47">
            <v>8.9062582329984569E-2</v>
          </cell>
          <cell r="I47">
            <v>8.9062582329984569E-2</v>
          </cell>
          <cell r="J47">
            <v>8.9062582329984569E-2</v>
          </cell>
          <cell r="K47">
            <v>8.9062582329984569E-2</v>
          </cell>
        </row>
      </sheetData>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sheetName val="Contents"/>
      <sheetName val="Inputs_SC"/>
      <sheetName val="General_assump_BA"/>
      <sheetName val="CFCs_OHDs_Fcast"/>
      <sheetName val="OracleActuals_TM1Data"/>
      <sheetName val="OracleActuals_RawData"/>
      <sheetName val="Master_Program"/>
      <sheetName val="Master_BAU"/>
      <sheetName val="BAU_Assumptions"/>
      <sheetName val="BAU_Forecast_Summary (Annual)"/>
      <sheetName val="BusCase_Sep14"/>
      <sheetName val="BusCase_Options"/>
      <sheetName val="Output_SC"/>
      <sheetName val="Resource_forecast_mnthly"/>
      <sheetName val="Program_Seating_forecast_Pivot1"/>
      <sheetName val="Program_Seating_forecast_Pivot2"/>
      <sheetName val="BAU_Headcount_forecast_Pivot1"/>
      <sheetName val="ApprovalReports_Brd1_SSC"/>
      <sheetName val="ApprovalBrd_Apr_to_May14"/>
      <sheetName val="ApprovalReports_Streams1_SSC"/>
      <sheetName val="ApprovalStr_Jun_to_Sep14_v1"/>
      <sheetName val="ApprovalStr_Jun_to_Sep14_Pivot1"/>
      <sheetName val="ApprovalStr_Jun_to_Sep14_Pivot2"/>
      <sheetName val="ApprovalReports_Brd2_SSC"/>
      <sheetName val="ApprovalBrd_Jun_to_Sep14_v1"/>
      <sheetName val="ApprovalBrd_Jun_to_Sep14_v2"/>
      <sheetName val="ApprovalBrd_Jun_to_Sep14_Comp"/>
      <sheetName val="ApprovalBrd_Jun_to_Sep14_Pivot1"/>
      <sheetName val="ApprovalBrd_Jun_to_Sep14_Pivot2"/>
      <sheetName val="ApprovalBrd_Jun_to_Sep14_Pivot3"/>
      <sheetName val="Resource_forecast_wkly"/>
      <sheetName val="Reports_FcastOct14_SSC"/>
      <sheetName val="FcastOct14_Program_Pivot1"/>
      <sheetName val="FcastOct14_Program_Pivot2"/>
      <sheetName val="Sheet2"/>
      <sheetName val="FcastOct14_BAU_Pivot1"/>
      <sheetName val="Financial_Fcasts_SSC"/>
      <sheetName val="FY15_Opex_Analysis"/>
      <sheetName val="BusCaseFormat_Summary_CY"/>
      <sheetName val="Sheet1"/>
      <sheetName val="BusCaseFormat_FY"/>
      <sheetName val="BusCaseFormat_CY"/>
      <sheetName val="BusCaseFormat_Summary_FY"/>
      <sheetName val="BusCaseFormat_Mnthly"/>
      <sheetName val="Stream_Fcasts_SSC"/>
      <sheetName val="StreamFcast2"/>
      <sheetName val="StreamFcast3"/>
      <sheetName val="StreamFcast4"/>
      <sheetName val="StreamFcast1"/>
      <sheetName val="StreamFcast5"/>
      <sheetName val="Misc_Fcasts_SSC"/>
      <sheetName val="Uncommitted_Analysis"/>
      <sheetName val="Charts_SSC"/>
      <sheetName val="Chart_data"/>
      <sheetName val="Charts"/>
      <sheetName val="Appendices_SC"/>
      <sheetName val="Chks_SSC"/>
      <sheetName val="Err_Chks_BO"/>
      <sheetName val="Lookup_SSC"/>
      <sheetName val="CostCentreMapping"/>
      <sheetName val="CostCodeMapping"/>
      <sheetName val="IT_ProjectList"/>
      <sheetName val="Dates_BL"/>
      <sheetName val="OfficeLocations_BL"/>
      <sheetName val="Projects_BL"/>
      <sheetName val="CostTypes_BL"/>
      <sheetName val="Public_hols_BL"/>
      <sheetName val="Annual_leave_BL"/>
      <sheetName val="GL"/>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6">
          <cell r="D6" t="str">
            <v>Option 1 only</v>
          </cell>
          <cell r="E6" t="str">
            <v>Option 2 only</v>
          </cell>
          <cell r="F6" t="str">
            <v>Option 3 only</v>
          </cell>
          <cell r="G6" t="str">
            <v>Option 3.5 only</v>
          </cell>
          <cell r="H6" t="str">
            <v>Option 4 only</v>
          </cell>
          <cell r="I6" t="str">
            <v>Option 5 only</v>
          </cell>
          <cell r="J6" t="str">
            <v>Options 1 &amp; 2</v>
          </cell>
          <cell r="K6" t="str">
            <v>Options 1 &amp; 3</v>
          </cell>
          <cell r="L6" t="str">
            <v>Options 1, 3 &amp; 3.5</v>
          </cell>
          <cell r="M6" t="str">
            <v>Options 3 &amp; 3.5</v>
          </cell>
          <cell r="N6" t="str">
            <v>Options 3, 3.5 &amp; 4</v>
          </cell>
          <cell r="O6" t="str">
            <v>Options 3.5 &amp; 4</v>
          </cell>
          <cell r="P6" t="str">
            <v>[Spare]</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ail"/>
      <sheetName val="Macro1"/>
      <sheetName val="Sheet5"/>
      <sheetName val="Sheet4"/>
      <sheetName val="Detail (2)"/>
    </sheetNames>
    <sheetDataSet>
      <sheetData sheetId="0"/>
      <sheetData sheetId="1">
        <row r="76">
          <cell r="A76" t="str">
            <v>Recover</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C29"/>
  <sheetViews>
    <sheetView workbookViewId="0">
      <selection activeCell="C30" sqref="C30"/>
    </sheetView>
  </sheetViews>
  <sheetFormatPr defaultRowHeight="14.4" x14ac:dyDescent="0.3"/>
  <cols>
    <col min="2" max="2" width="23.6640625" customWidth="1"/>
    <col min="3" max="3" width="106.44140625" customWidth="1"/>
  </cols>
  <sheetData>
    <row r="8" spans="2:3" s="389" customFormat="1" ht="13.8" x14ac:dyDescent="0.3"/>
    <row r="9" spans="2:3" s="389" customFormat="1" ht="20.7" customHeight="1" x14ac:dyDescent="0.3">
      <c r="B9" s="563" t="s">
        <v>339</v>
      </c>
      <c r="C9" s="564"/>
    </row>
    <row r="10" spans="2:3" s="389" customFormat="1" ht="13.2" customHeight="1" x14ac:dyDescent="0.3">
      <c r="B10" s="565" t="s">
        <v>343</v>
      </c>
      <c r="C10" s="566"/>
    </row>
    <row r="11" spans="2:3" s="389" customFormat="1" ht="22.95" customHeight="1" x14ac:dyDescent="0.3">
      <c r="B11" s="567"/>
      <c r="C11" s="568"/>
    </row>
    <row r="12" spans="2:3" s="389" customFormat="1" ht="22.95" customHeight="1" x14ac:dyDescent="0.3">
      <c r="B12" s="569"/>
      <c r="C12" s="570"/>
    </row>
    <row r="13" spans="2:3" s="389" customFormat="1" ht="22.95" customHeight="1" x14ac:dyDescent="0.3"/>
    <row r="14" spans="2:3" s="389" customFormat="1" ht="22.95" customHeight="1" x14ac:dyDescent="0.3">
      <c r="B14" s="563" t="s">
        <v>340</v>
      </c>
      <c r="C14" s="564"/>
    </row>
    <row r="15" spans="2:3" s="389" customFormat="1" ht="22.95" customHeight="1" x14ac:dyDescent="0.3">
      <c r="B15" s="390" t="s">
        <v>341</v>
      </c>
      <c r="C15" s="391" t="s">
        <v>342</v>
      </c>
    </row>
    <row r="16" spans="2:3" s="389" customFormat="1" ht="25.2" customHeight="1" x14ac:dyDescent="0.3">
      <c r="B16" s="392" t="s">
        <v>344</v>
      </c>
      <c r="C16" s="393" t="s">
        <v>345</v>
      </c>
    </row>
    <row r="17" spans="2:3" s="389" customFormat="1" ht="25.2" customHeight="1" x14ac:dyDescent="0.3">
      <c r="B17" s="394" t="s">
        <v>346</v>
      </c>
      <c r="C17" s="395" t="s">
        <v>348</v>
      </c>
    </row>
    <row r="18" spans="2:3" s="389" customFormat="1" ht="25.2" customHeight="1" x14ac:dyDescent="0.3">
      <c r="B18" s="394" t="s">
        <v>347</v>
      </c>
      <c r="C18" s="395" t="s">
        <v>360</v>
      </c>
    </row>
    <row r="19" spans="2:3" s="389" customFormat="1" ht="25.2" customHeight="1" x14ac:dyDescent="0.3">
      <c r="B19" s="394" t="s">
        <v>349</v>
      </c>
      <c r="C19" s="395" t="s">
        <v>350</v>
      </c>
    </row>
    <row r="20" spans="2:3" s="389" customFormat="1" ht="25.2" customHeight="1" x14ac:dyDescent="0.3">
      <c r="B20" s="394" t="s">
        <v>351</v>
      </c>
      <c r="C20" s="395" t="s">
        <v>359</v>
      </c>
    </row>
    <row r="21" spans="2:3" s="389" customFormat="1" ht="25.2" customHeight="1" x14ac:dyDescent="0.3">
      <c r="B21" s="396" t="s">
        <v>352</v>
      </c>
      <c r="C21" s="395" t="s">
        <v>361</v>
      </c>
    </row>
    <row r="22" spans="2:3" s="389" customFormat="1" ht="25.2" customHeight="1" x14ac:dyDescent="0.3">
      <c r="B22" s="396" t="s">
        <v>353</v>
      </c>
      <c r="C22" s="395" t="s">
        <v>362</v>
      </c>
    </row>
    <row r="23" spans="2:3" s="389" customFormat="1" ht="25.2" customHeight="1" x14ac:dyDescent="0.3">
      <c r="B23" s="396" t="s">
        <v>288</v>
      </c>
      <c r="C23" s="395" t="s">
        <v>363</v>
      </c>
    </row>
    <row r="24" spans="2:3" s="389" customFormat="1" ht="25.2" customHeight="1" x14ac:dyDescent="0.3">
      <c r="B24" s="396" t="s">
        <v>38</v>
      </c>
      <c r="C24" s="395" t="s">
        <v>364</v>
      </c>
    </row>
    <row r="25" spans="2:3" s="389" customFormat="1" ht="25.2" customHeight="1" x14ac:dyDescent="0.3">
      <c r="B25" s="396" t="s">
        <v>354</v>
      </c>
      <c r="C25" s="395" t="s">
        <v>365</v>
      </c>
    </row>
    <row r="26" spans="2:3" s="389" customFormat="1" ht="25.2" customHeight="1" x14ac:dyDescent="0.3">
      <c r="B26" s="396" t="s">
        <v>355</v>
      </c>
      <c r="C26" s="395" t="s">
        <v>368</v>
      </c>
    </row>
    <row r="27" spans="2:3" s="389" customFormat="1" ht="25.2" customHeight="1" x14ac:dyDescent="0.3">
      <c r="B27" s="396" t="s">
        <v>356</v>
      </c>
      <c r="C27" s="395" t="s">
        <v>366</v>
      </c>
    </row>
    <row r="28" spans="2:3" s="389" customFormat="1" ht="25.2" customHeight="1" x14ac:dyDescent="0.3">
      <c r="B28" s="396" t="s">
        <v>357</v>
      </c>
      <c r="C28" s="395" t="s">
        <v>367</v>
      </c>
    </row>
    <row r="29" spans="2:3" s="389" customFormat="1" ht="25.2" customHeight="1" x14ac:dyDescent="0.3">
      <c r="B29" s="397" t="s">
        <v>358</v>
      </c>
      <c r="C29" s="398" t="s">
        <v>369</v>
      </c>
    </row>
  </sheetData>
  <mergeCells count="3">
    <mergeCell ref="B9:C9"/>
    <mergeCell ref="B10:C12"/>
    <mergeCell ref="B14:C1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6"/>
  <sheetViews>
    <sheetView topLeftCell="A10" workbookViewId="0">
      <selection activeCell="A39" sqref="A39:B47"/>
    </sheetView>
  </sheetViews>
  <sheetFormatPr defaultRowHeight="14.4" x14ac:dyDescent="0.3"/>
  <cols>
    <col min="1" max="1" width="13.33203125" bestFit="1" customWidth="1"/>
    <col min="2" max="2" width="21" bestFit="1" customWidth="1"/>
    <col min="3" max="3" width="15.33203125" bestFit="1" customWidth="1"/>
    <col min="4" max="5" width="11.88671875" bestFit="1" customWidth="1"/>
    <col min="6" max="6" width="12.33203125" bestFit="1" customWidth="1"/>
    <col min="7" max="7" width="11.88671875" bestFit="1" customWidth="1"/>
    <col min="8" max="12" width="15.33203125" bestFit="1" customWidth="1"/>
    <col min="13" max="13" width="14.33203125" bestFit="1" customWidth="1"/>
  </cols>
  <sheetData>
    <row r="2" spans="1:19" ht="15" thickBot="1" x14ac:dyDescent="0.35">
      <c r="B2" s="94"/>
    </row>
    <row r="3" spans="1:19" ht="15" thickBot="1" x14ac:dyDescent="0.35">
      <c r="B3" s="5"/>
      <c r="C3" s="148">
        <v>2015</v>
      </c>
      <c r="D3" s="148">
        <v>2016</v>
      </c>
      <c r="E3" s="581">
        <v>2017</v>
      </c>
      <c r="F3" s="582"/>
      <c r="G3" s="149">
        <v>2018</v>
      </c>
      <c r="H3" s="149">
        <v>2019</v>
      </c>
      <c r="I3" s="149">
        <v>2020</v>
      </c>
      <c r="J3" s="95"/>
      <c r="K3" s="95"/>
      <c r="L3" s="150"/>
      <c r="M3" s="151"/>
      <c r="N3" s="151"/>
      <c r="O3" s="583"/>
      <c r="P3" s="583"/>
      <c r="Q3" s="151"/>
      <c r="R3" s="151"/>
      <c r="S3" s="151"/>
    </row>
    <row r="4" spans="1:19" ht="15" thickBot="1" x14ac:dyDescent="0.35">
      <c r="B4" s="152" t="s">
        <v>91</v>
      </c>
      <c r="C4" s="153" t="s">
        <v>92</v>
      </c>
      <c r="D4" s="153" t="s">
        <v>92</v>
      </c>
      <c r="E4" s="154" t="s">
        <v>93</v>
      </c>
      <c r="F4" s="155" t="s">
        <v>94</v>
      </c>
      <c r="G4" s="153" t="s">
        <v>92</v>
      </c>
      <c r="H4" s="153" t="s">
        <v>92</v>
      </c>
      <c r="I4" s="153" t="s">
        <v>92</v>
      </c>
      <c r="J4" s="95"/>
      <c r="K4" s="95"/>
      <c r="L4" s="156"/>
      <c r="M4" s="157"/>
      <c r="N4" s="157"/>
      <c r="O4" s="157"/>
      <c r="P4" s="157"/>
      <c r="Q4" s="157"/>
      <c r="R4" s="157"/>
      <c r="S4" s="157"/>
    </row>
    <row r="5" spans="1:19" x14ac:dyDescent="0.3">
      <c r="B5" s="158" t="s">
        <v>95</v>
      </c>
      <c r="C5" s="499"/>
      <c r="D5" s="499"/>
      <c r="E5" s="500"/>
      <c r="F5" s="501"/>
      <c r="G5" s="499"/>
      <c r="H5" s="499"/>
      <c r="I5" s="499"/>
      <c r="J5" s="95"/>
      <c r="K5" s="95"/>
      <c r="L5" s="159"/>
      <c r="M5" s="160"/>
      <c r="N5" s="160"/>
      <c r="O5" s="160"/>
      <c r="P5" s="160"/>
      <c r="Q5" s="160"/>
      <c r="R5" s="160"/>
      <c r="S5" s="160"/>
    </row>
    <row r="6" spans="1:19" x14ac:dyDescent="0.3">
      <c r="B6" s="158" t="s">
        <v>137</v>
      </c>
      <c r="C6" s="502"/>
      <c r="D6" s="502"/>
      <c r="E6" s="503"/>
      <c r="F6" s="504"/>
      <c r="G6" s="505"/>
      <c r="H6" s="505"/>
      <c r="I6" s="505"/>
      <c r="J6" s="95"/>
      <c r="K6" s="95"/>
      <c r="L6" s="159"/>
      <c r="M6" s="160"/>
      <c r="N6" s="160"/>
      <c r="O6" s="160"/>
      <c r="P6" s="161"/>
      <c r="Q6" s="161"/>
      <c r="R6" s="161"/>
      <c r="S6" s="161"/>
    </row>
    <row r="7" spans="1:19" x14ac:dyDescent="0.3">
      <c r="B7" s="158" t="s">
        <v>138</v>
      </c>
      <c r="C7" s="502"/>
      <c r="D7" s="502"/>
      <c r="E7" s="506"/>
      <c r="F7" s="504"/>
      <c r="G7" s="505"/>
      <c r="H7" s="505"/>
      <c r="I7" s="505"/>
      <c r="J7" s="95"/>
      <c r="K7" s="95"/>
      <c r="L7" s="159"/>
      <c r="M7" s="160"/>
      <c r="N7" s="160"/>
      <c r="O7" s="161"/>
      <c r="P7" s="161"/>
      <c r="Q7" s="161"/>
      <c r="R7" s="161"/>
      <c r="S7" s="161"/>
    </row>
    <row r="8" spans="1:19" x14ac:dyDescent="0.3">
      <c r="B8" s="158" t="s">
        <v>96</v>
      </c>
      <c r="C8" s="502"/>
      <c r="D8" s="502"/>
      <c r="E8" s="506"/>
      <c r="F8" s="506"/>
      <c r="G8" s="506"/>
      <c r="H8" s="506"/>
      <c r="I8" s="506"/>
      <c r="J8" s="95"/>
      <c r="K8" s="95"/>
      <c r="L8" s="159"/>
      <c r="M8" s="160"/>
      <c r="N8" s="160"/>
      <c r="O8" s="161"/>
      <c r="P8" s="161"/>
      <c r="Q8" s="161"/>
      <c r="R8" s="161"/>
      <c r="S8" s="161"/>
    </row>
    <row r="9" spans="1:19" x14ac:dyDescent="0.3">
      <c r="B9" s="158" t="s">
        <v>97</v>
      </c>
      <c r="C9" s="505"/>
      <c r="D9" s="502"/>
      <c r="E9" s="503"/>
      <c r="F9" s="507"/>
      <c r="G9" s="502"/>
      <c r="H9" s="502"/>
      <c r="I9" s="502"/>
      <c r="J9" s="95"/>
      <c r="K9" s="95"/>
      <c r="L9" s="159"/>
      <c r="M9" s="161"/>
      <c r="N9" s="160"/>
      <c r="O9" s="160"/>
      <c r="P9" s="160"/>
      <c r="Q9" s="160"/>
      <c r="R9" s="160"/>
      <c r="S9" s="160"/>
    </row>
    <row r="10" spans="1:19" x14ac:dyDescent="0.3">
      <c r="B10" s="162" t="s">
        <v>139</v>
      </c>
      <c r="C10" s="508"/>
      <c r="D10" s="509"/>
      <c r="E10" s="510"/>
      <c r="F10" s="511"/>
      <c r="G10" s="509"/>
      <c r="H10" s="509"/>
      <c r="I10" s="509"/>
      <c r="J10" s="95"/>
      <c r="K10" s="95"/>
      <c r="L10" s="159"/>
      <c r="M10" s="161"/>
      <c r="N10" s="160"/>
      <c r="O10" s="160"/>
      <c r="P10" s="160"/>
      <c r="Q10" s="160"/>
      <c r="R10" s="160"/>
      <c r="S10" s="160"/>
    </row>
    <row r="11" spans="1:19" x14ac:dyDescent="0.3">
      <c r="B11" s="162" t="s">
        <v>140</v>
      </c>
      <c r="C11" s="508"/>
      <c r="D11" s="508"/>
      <c r="E11" s="512"/>
      <c r="F11" s="511"/>
      <c r="G11" s="509"/>
      <c r="H11" s="509"/>
      <c r="I11" s="509"/>
      <c r="J11" s="95"/>
      <c r="K11" s="95"/>
      <c r="L11" s="159"/>
      <c r="M11" s="161"/>
      <c r="N11" s="161"/>
      <c r="O11" s="161"/>
      <c r="P11" s="160"/>
      <c r="Q11" s="160"/>
      <c r="R11" s="160"/>
      <c r="S11" s="160"/>
    </row>
    <row r="12" spans="1:19" ht="15" thickBot="1" x14ac:dyDescent="0.35">
      <c r="B12" s="163" t="s">
        <v>37</v>
      </c>
      <c r="C12" s="164">
        <v>102.1</v>
      </c>
      <c r="D12" s="164">
        <v>93.18</v>
      </c>
      <c r="E12" s="164">
        <v>46.224689282260776</v>
      </c>
      <c r="F12" s="164">
        <v>26.335234543050547</v>
      </c>
      <c r="G12" s="164">
        <v>23.996582795571609</v>
      </c>
      <c r="H12" s="164">
        <v>25.273002190515662</v>
      </c>
      <c r="I12" s="164">
        <v>26.412662364572853</v>
      </c>
      <c r="J12" s="95"/>
      <c r="K12" s="95"/>
      <c r="L12" s="156"/>
      <c r="M12" s="165"/>
      <c r="N12" s="165"/>
      <c r="O12" s="165"/>
      <c r="P12" s="165"/>
      <c r="Q12" s="165"/>
      <c r="R12" s="165"/>
      <c r="S12" s="165"/>
    </row>
    <row r="13" spans="1:19" x14ac:dyDescent="0.3">
      <c r="B13" s="95"/>
      <c r="C13" s="95"/>
      <c r="D13" s="95"/>
      <c r="E13" s="95"/>
      <c r="F13" s="95"/>
      <c r="G13" s="95"/>
      <c r="H13" s="95"/>
      <c r="I13" s="95"/>
      <c r="J13" s="95"/>
      <c r="K13" s="95"/>
      <c r="L13" s="96"/>
    </row>
    <row r="15" spans="1:19" ht="15" thickBot="1" x14ac:dyDescent="0.35"/>
    <row r="16" spans="1:19" x14ac:dyDescent="0.3">
      <c r="A16" s="8"/>
      <c r="H16" s="92" t="s">
        <v>39</v>
      </c>
      <c r="I16" s="92" t="s">
        <v>40</v>
      </c>
      <c r="J16" s="92" t="s">
        <v>41</v>
      </c>
      <c r="K16" s="92" t="s">
        <v>42</v>
      </c>
      <c r="L16" s="92" t="s">
        <v>43</v>
      </c>
      <c r="M16" s="92" t="s">
        <v>44</v>
      </c>
    </row>
    <row r="17" spans="1:13" ht="15" thickBot="1" x14ac:dyDescent="0.35">
      <c r="H17" s="93" t="s">
        <v>66</v>
      </c>
      <c r="I17" s="93" t="s">
        <v>66</v>
      </c>
      <c r="J17" s="93" t="s">
        <v>66</v>
      </c>
      <c r="K17" s="93" t="s">
        <v>66</v>
      </c>
      <c r="L17" s="93" t="s">
        <v>66</v>
      </c>
      <c r="M17" s="93" t="s">
        <v>66</v>
      </c>
    </row>
    <row r="18" spans="1:13" ht="15" thickBot="1" x14ac:dyDescent="0.35">
      <c r="G18" s="97" t="s">
        <v>102</v>
      </c>
      <c r="H18" s="98"/>
      <c r="I18" s="98"/>
      <c r="J18" s="98"/>
      <c r="K18" s="98"/>
      <c r="L18" s="98"/>
      <c r="M18" s="99"/>
    </row>
    <row r="19" spans="1:13" ht="15" thickBot="1" x14ac:dyDescent="0.35">
      <c r="G19" s="97" t="s">
        <v>95</v>
      </c>
      <c r="H19" s="102">
        <v>898799.29411764711</v>
      </c>
      <c r="I19" s="102">
        <v>898799.29411764711</v>
      </c>
      <c r="J19" s="102">
        <v>337049.73529411765</v>
      </c>
      <c r="K19" s="102">
        <v>224699.82352941178</v>
      </c>
      <c r="L19" s="102">
        <v>224699.82352941178</v>
      </c>
      <c r="M19" s="102">
        <v>224699.82352941178</v>
      </c>
    </row>
    <row r="20" spans="1:13" ht="15" thickBot="1" x14ac:dyDescent="0.35">
      <c r="G20" s="97" t="s">
        <v>137</v>
      </c>
      <c r="H20" s="102">
        <v>3149079.7380281687</v>
      </c>
      <c r="I20" s="102">
        <v>2519263.790422535</v>
      </c>
      <c r="J20" s="102">
        <v>529553.76760563371</v>
      </c>
      <c r="K20" s="102">
        <v>353035.84507042251</v>
      </c>
      <c r="L20" s="102">
        <v>353035.84507042251</v>
      </c>
      <c r="M20" s="102">
        <v>353035.84507042251</v>
      </c>
    </row>
    <row r="21" spans="1:13" ht="15" thickBot="1" x14ac:dyDescent="0.35">
      <c r="G21" s="97" t="s">
        <v>138</v>
      </c>
      <c r="H21" s="102">
        <v>0</v>
      </c>
      <c r="I21" s="102">
        <v>0</v>
      </c>
      <c r="J21" s="102">
        <v>0</v>
      </c>
      <c r="K21" s="102">
        <v>0</v>
      </c>
      <c r="L21" s="102">
        <v>0</v>
      </c>
      <c r="M21" s="102">
        <v>0</v>
      </c>
    </row>
    <row r="22" spans="1:13" ht="15" thickBot="1" x14ac:dyDescent="0.35">
      <c r="G22" s="97" t="s">
        <v>96</v>
      </c>
      <c r="H22" s="102">
        <v>898799.29411764711</v>
      </c>
      <c r="I22" s="102">
        <v>898799.29411764711</v>
      </c>
      <c r="J22" s="102">
        <v>836532.70398088812</v>
      </c>
      <c r="K22" s="102">
        <v>629960.34238560742</v>
      </c>
      <c r="L22" s="102">
        <v>773365.94878233119</v>
      </c>
      <c r="M22" s="102">
        <v>901406.66877940577</v>
      </c>
    </row>
    <row r="23" spans="1:13" ht="15" thickBot="1" x14ac:dyDescent="0.35">
      <c r="A23" s="5"/>
      <c r="G23" s="97" t="s">
        <v>97</v>
      </c>
      <c r="H23" s="102">
        <v>698423.30011730222</v>
      </c>
      <c r="I23" s="102">
        <v>630781.84144736954</v>
      </c>
      <c r="J23" s="102">
        <v>254983.34366383386</v>
      </c>
      <c r="K23" s="102">
        <v>84994.447887944625</v>
      </c>
      <c r="L23" s="102">
        <v>84994.447887944625</v>
      </c>
      <c r="M23" s="102">
        <v>84994.447887944625</v>
      </c>
    </row>
    <row r="24" spans="1:13" ht="15" thickBot="1" x14ac:dyDescent="0.35">
      <c r="A24" s="100"/>
      <c r="B24" s="101"/>
      <c r="G24" s="97" t="s">
        <v>139</v>
      </c>
      <c r="H24" s="102">
        <v>279369.32004692085</v>
      </c>
      <c r="I24" s="102">
        <v>252312.73657894784</v>
      </c>
      <c r="J24" s="102">
        <v>169988.89577588925</v>
      </c>
      <c r="K24" s="102">
        <v>84994.447887944625</v>
      </c>
      <c r="L24" s="102">
        <v>42497.223943972313</v>
      </c>
      <c r="M24" s="102">
        <v>42497.223943972313</v>
      </c>
    </row>
    <row r="25" spans="1:13" ht="15" thickBot="1" x14ac:dyDescent="0.35">
      <c r="A25" s="100"/>
      <c r="B25" s="101"/>
      <c r="G25" s="97" t="s">
        <v>140</v>
      </c>
      <c r="H25" s="102">
        <v>202829.22600126668</v>
      </c>
      <c r="I25" s="102">
        <v>183185.45881120465</v>
      </c>
      <c r="J25" s="102">
        <v>123416.2582822008</v>
      </c>
      <c r="K25" s="102">
        <v>61708.129141100399</v>
      </c>
      <c r="L25" s="102">
        <v>61708.129141100399</v>
      </c>
      <c r="M25" s="102">
        <v>61708.129141100399</v>
      </c>
    </row>
    <row r="26" spans="1:13" ht="15" thickBot="1" x14ac:dyDescent="0.35">
      <c r="A26" s="100"/>
      <c r="B26" s="101"/>
      <c r="G26" s="498"/>
      <c r="H26" s="102">
        <v>0</v>
      </c>
      <c r="I26" s="102">
        <v>0</v>
      </c>
      <c r="J26" s="102">
        <v>0</v>
      </c>
      <c r="K26" s="102">
        <v>0</v>
      </c>
      <c r="L26" s="102">
        <v>0</v>
      </c>
      <c r="M26" s="102">
        <v>0</v>
      </c>
    </row>
    <row r="27" spans="1:13" ht="15" thickBot="1" x14ac:dyDescent="0.35">
      <c r="A27" s="100"/>
      <c r="B27" s="101"/>
      <c r="G27" s="97" t="s">
        <v>37</v>
      </c>
      <c r="H27" s="103">
        <v>6127300.1724289535</v>
      </c>
      <c r="I27" s="103">
        <v>5383142.415495351</v>
      </c>
      <c r="J27" s="103">
        <v>2251524.7046025633</v>
      </c>
      <c r="K27" s="103">
        <v>1439393.0359024312</v>
      </c>
      <c r="L27" s="103">
        <v>1540301.4183551827</v>
      </c>
      <c r="M27" s="103">
        <v>1668342.1383522572</v>
      </c>
    </row>
    <row r="28" spans="1:13" x14ac:dyDescent="0.3">
      <c r="A28" s="100"/>
      <c r="B28" s="101"/>
    </row>
    <row r="29" spans="1:13" x14ac:dyDescent="0.3">
      <c r="A29" s="100"/>
      <c r="B29" s="101"/>
    </row>
    <row r="30" spans="1:13" x14ac:dyDescent="0.3">
      <c r="A30" s="166"/>
      <c r="B30" s="101"/>
    </row>
    <row r="31" spans="1:13" x14ac:dyDescent="0.3">
      <c r="A31" s="166"/>
      <c r="B31" s="101"/>
    </row>
    <row r="32" spans="1:13" x14ac:dyDescent="0.3">
      <c r="A32" s="166"/>
      <c r="B32" s="101"/>
    </row>
    <row r="33" spans="1:3" x14ac:dyDescent="0.3">
      <c r="A33" s="104"/>
      <c r="B33" s="101"/>
    </row>
    <row r="34" spans="1:3" x14ac:dyDescent="0.3">
      <c r="A34" s="104"/>
      <c r="B34" s="101"/>
    </row>
    <row r="35" spans="1:3" x14ac:dyDescent="0.3">
      <c r="A35" s="105"/>
      <c r="B35" s="101"/>
    </row>
    <row r="36" spans="1:3" x14ac:dyDescent="0.3">
      <c r="A36" s="105"/>
      <c r="B36" s="101"/>
    </row>
    <row r="37" spans="1:3" x14ac:dyDescent="0.3">
      <c r="A37" s="106"/>
      <c r="B37" s="101"/>
      <c r="C37" s="107"/>
    </row>
    <row r="38" spans="1:3" x14ac:dyDescent="0.3">
      <c r="A38" s="100"/>
      <c r="B38" s="101"/>
    </row>
    <row r="39" spans="1:3" x14ac:dyDescent="0.3">
      <c r="A39" s="108"/>
    </row>
    <row r="41" spans="1:3" x14ac:dyDescent="0.3">
      <c r="A41" s="5"/>
    </row>
    <row r="42" spans="1:3" x14ac:dyDescent="0.3">
      <c r="A42" s="109"/>
      <c r="B42" s="101"/>
      <c r="C42" s="107"/>
    </row>
    <row r="43" spans="1:3" x14ac:dyDescent="0.3">
      <c r="A43" s="109"/>
      <c r="B43" s="101"/>
      <c r="C43" s="107"/>
    </row>
    <row r="44" spans="1:3" x14ac:dyDescent="0.3">
      <c r="A44" s="109"/>
      <c r="B44" s="101"/>
      <c r="C44" s="107"/>
    </row>
    <row r="45" spans="1:3" x14ac:dyDescent="0.3">
      <c r="A45" s="109"/>
      <c r="B45" s="101"/>
      <c r="C45" s="107"/>
    </row>
    <row r="46" spans="1:3" x14ac:dyDescent="0.3">
      <c r="A46" s="109"/>
      <c r="B46" s="101"/>
      <c r="C46" s="107"/>
    </row>
  </sheetData>
  <mergeCells count="2">
    <mergeCell ref="E3:F3"/>
    <mergeCell ref="O3:P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workbookViewId="0">
      <selection activeCell="H18" sqref="H18"/>
    </sheetView>
  </sheetViews>
  <sheetFormatPr defaultRowHeight="14.4" x14ac:dyDescent="0.3"/>
  <cols>
    <col min="1" max="1" width="32" customWidth="1"/>
    <col min="2" max="2" width="13.44140625" style="167" customWidth="1"/>
    <col min="3" max="3" width="11.88671875" style="167" bestFit="1" customWidth="1"/>
    <col min="4" max="4" width="12.5546875" style="167" bestFit="1" customWidth="1"/>
    <col min="5" max="5" width="12.33203125" style="167" bestFit="1" customWidth="1"/>
    <col min="6" max="8" width="11.88671875" style="167" bestFit="1" customWidth="1"/>
  </cols>
  <sheetData>
    <row r="1" spans="1:10" ht="15" thickBot="1" x14ac:dyDescent="0.35"/>
    <row r="2" spans="1:10" s="5" customFormat="1" ht="15" thickBot="1" x14ac:dyDescent="0.35">
      <c r="B2" s="148">
        <v>2015</v>
      </c>
      <c r="C2" s="148">
        <v>2016</v>
      </c>
      <c r="D2" s="581">
        <v>2017</v>
      </c>
      <c r="E2" s="582"/>
      <c r="F2" s="149">
        <v>2018</v>
      </c>
      <c r="G2" s="149">
        <v>2019</v>
      </c>
      <c r="H2" s="149">
        <v>2020</v>
      </c>
    </row>
    <row r="3" spans="1:10" ht="15" thickBot="1" x14ac:dyDescent="0.35">
      <c r="A3" s="152" t="s">
        <v>91</v>
      </c>
      <c r="B3" s="153" t="s">
        <v>92</v>
      </c>
      <c r="C3" s="153" t="s">
        <v>92</v>
      </c>
      <c r="D3" s="154" t="s">
        <v>93</v>
      </c>
      <c r="E3" s="155" t="s">
        <v>94</v>
      </c>
      <c r="F3" s="153" t="s">
        <v>92</v>
      </c>
      <c r="G3" s="153" t="s">
        <v>92</v>
      </c>
      <c r="H3" s="153" t="s">
        <v>92</v>
      </c>
    </row>
    <row r="4" spans="1:10" x14ac:dyDescent="0.3">
      <c r="A4" s="158" t="s">
        <v>95</v>
      </c>
      <c r="B4" s="499"/>
      <c r="C4" s="499"/>
      <c r="D4" s="500"/>
      <c r="E4" s="501"/>
      <c r="F4" s="499"/>
      <c r="G4" s="499"/>
      <c r="H4" s="499"/>
    </row>
    <row r="5" spans="1:10" x14ac:dyDescent="0.3">
      <c r="A5" s="158" t="s">
        <v>137</v>
      </c>
      <c r="B5" s="502"/>
      <c r="C5" s="502"/>
      <c r="D5" s="503"/>
      <c r="E5" s="504"/>
      <c r="F5" s="505"/>
      <c r="G5" s="505"/>
      <c r="H5" s="505"/>
    </row>
    <row r="6" spans="1:10" x14ac:dyDescent="0.3">
      <c r="A6" s="158" t="s">
        <v>138</v>
      </c>
      <c r="B6" s="502"/>
      <c r="C6" s="502"/>
      <c r="D6" s="506"/>
      <c r="E6" s="504"/>
      <c r="F6" s="505"/>
      <c r="G6" s="505"/>
      <c r="H6" s="505"/>
    </row>
    <row r="7" spans="1:10" x14ac:dyDescent="0.3">
      <c r="A7" s="158" t="s">
        <v>96</v>
      </c>
      <c r="B7" s="502"/>
      <c r="C7" s="502"/>
      <c r="D7" s="506"/>
      <c r="E7" s="504"/>
      <c r="F7" s="505"/>
      <c r="G7" s="505"/>
      <c r="H7" s="505"/>
    </row>
    <row r="8" spans="1:10" x14ac:dyDescent="0.3">
      <c r="A8" s="158" t="s">
        <v>97</v>
      </c>
      <c r="B8" s="505"/>
      <c r="C8" s="502"/>
      <c r="D8" s="503"/>
      <c r="E8" s="507"/>
      <c r="F8" s="502"/>
      <c r="G8" s="502"/>
      <c r="H8" s="502"/>
    </row>
    <row r="9" spans="1:10" x14ac:dyDescent="0.3">
      <c r="A9" s="162" t="s">
        <v>139</v>
      </c>
      <c r="B9" s="508"/>
      <c r="C9" s="509"/>
      <c r="D9" s="510"/>
      <c r="E9" s="511"/>
      <c r="F9" s="509"/>
      <c r="G9" s="509"/>
      <c r="H9" s="509"/>
    </row>
    <row r="10" spans="1:10" x14ac:dyDescent="0.3">
      <c r="A10" s="162" t="s">
        <v>140</v>
      </c>
      <c r="B10" s="508"/>
      <c r="C10" s="508"/>
      <c r="D10" s="512"/>
      <c r="E10" s="511"/>
      <c r="F10" s="509"/>
      <c r="G10" s="509"/>
      <c r="H10" s="509"/>
    </row>
    <row r="11" spans="1:10" s="5" customFormat="1" ht="15" thickBot="1" x14ac:dyDescent="0.35">
      <c r="A11" s="163" t="s">
        <v>37</v>
      </c>
      <c r="B11" s="164">
        <v>99.1</v>
      </c>
      <c r="C11" s="164">
        <v>90.18</v>
      </c>
      <c r="D11" s="168">
        <v>43.224689282260776</v>
      </c>
      <c r="E11" s="169">
        <v>24.835234543050547</v>
      </c>
      <c r="F11" s="164">
        <v>22.996582795571609</v>
      </c>
      <c r="G11" s="164">
        <v>24.273002190515662</v>
      </c>
      <c r="H11" s="164">
        <v>25.412662364572853</v>
      </c>
    </row>
    <row r="13" spans="1:10" x14ac:dyDescent="0.3">
      <c r="A13" s="170" t="s">
        <v>98</v>
      </c>
      <c r="B13" s="171"/>
      <c r="C13" s="171"/>
      <c r="D13" s="171"/>
      <c r="E13" s="171"/>
      <c r="F13" s="171"/>
      <c r="G13" s="171"/>
      <c r="H13" s="171"/>
      <c r="I13" s="172"/>
      <c r="J13" s="173"/>
    </row>
    <row r="14" spans="1:10" x14ac:dyDescent="0.3">
      <c r="A14" s="587">
        <v>2015</v>
      </c>
      <c r="B14" s="588"/>
      <c r="C14" s="588"/>
      <c r="D14" s="588"/>
      <c r="E14" s="588"/>
      <c r="F14" s="588"/>
      <c r="G14" s="588"/>
      <c r="H14" s="588"/>
      <c r="I14" s="588"/>
      <c r="J14" s="589"/>
    </row>
    <row r="15" spans="1:10" ht="38.25" customHeight="1" x14ac:dyDescent="0.3">
      <c r="A15" s="590" t="s">
        <v>226</v>
      </c>
      <c r="B15" s="591"/>
      <c r="C15" s="591"/>
      <c r="D15" s="591"/>
      <c r="E15" s="591"/>
      <c r="F15" s="591"/>
      <c r="G15" s="591"/>
      <c r="H15" s="591"/>
      <c r="I15" s="591"/>
      <c r="J15" s="592"/>
    </row>
    <row r="16" spans="1:10" x14ac:dyDescent="0.3">
      <c r="A16" s="174">
        <v>2016</v>
      </c>
      <c r="B16" s="175"/>
      <c r="C16" s="175"/>
      <c r="D16" s="175"/>
      <c r="E16" s="175"/>
      <c r="F16" s="175"/>
      <c r="G16" s="175"/>
      <c r="H16" s="175"/>
      <c r="I16" s="176"/>
      <c r="J16" s="177"/>
    </row>
    <row r="17" spans="1:10" ht="33" customHeight="1" x14ac:dyDescent="0.3">
      <c r="A17" s="590" t="s">
        <v>141</v>
      </c>
      <c r="B17" s="591"/>
      <c r="C17" s="591"/>
      <c r="D17" s="591"/>
      <c r="E17" s="591"/>
      <c r="F17" s="591"/>
      <c r="G17" s="591"/>
      <c r="H17" s="591"/>
      <c r="I17" s="591"/>
      <c r="J17" s="592"/>
    </row>
    <row r="18" spans="1:10" x14ac:dyDescent="0.3">
      <c r="A18" s="174" t="s">
        <v>142</v>
      </c>
      <c r="B18" s="175"/>
      <c r="C18" s="175"/>
      <c r="D18" s="175"/>
      <c r="E18" s="175"/>
      <c r="F18" s="175"/>
      <c r="G18" s="175"/>
      <c r="H18" s="175"/>
      <c r="I18" s="176"/>
      <c r="J18" s="177"/>
    </row>
    <row r="19" spans="1:10" x14ac:dyDescent="0.3">
      <c r="A19" s="584" t="s">
        <v>99</v>
      </c>
      <c r="B19" s="585"/>
      <c r="C19" s="585"/>
      <c r="D19" s="585"/>
      <c r="E19" s="585"/>
      <c r="F19" s="585"/>
      <c r="G19" s="585"/>
      <c r="H19" s="585"/>
      <c r="I19" s="585"/>
      <c r="J19" s="586"/>
    </row>
    <row r="20" spans="1:10" x14ac:dyDescent="0.3">
      <c r="A20" s="584" t="s">
        <v>100</v>
      </c>
      <c r="B20" s="585"/>
      <c r="C20" s="585"/>
      <c r="D20" s="585"/>
      <c r="E20" s="585"/>
      <c r="F20" s="585"/>
      <c r="G20" s="585"/>
      <c r="H20" s="585"/>
      <c r="I20" s="585"/>
      <c r="J20" s="586"/>
    </row>
    <row r="21" spans="1:10" x14ac:dyDescent="0.3">
      <c r="A21" s="584" t="s">
        <v>331</v>
      </c>
      <c r="B21" s="585"/>
      <c r="C21" s="585"/>
      <c r="D21" s="585"/>
      <c r="E21" s="585"/>
      <c r="F21" s="585"/>
      <c r="G21" s="585"/>
      <c r="H21" s="585"/>
      <c r="I21" s="585"/>
      <c r="J21" s="586"/>
    </row>
    <row r="22" spans="1:10" x14ac:dyDescent="0.3">
      <c r="A22" s="584" t="s">
        <v>143</v>
      </c>
      <c r="B22" s="585"/>
      <c r="C22" s="585"/>
      <c r="D22" s="585"/>
      <c r="E22" s="585"/>
      <c r="F22" s="585"/>
      <c r="G22" s="585"/>
      <c r="H22" s="585"/>
      <c r="I22" s="585"/>
      <c r="J22" s="586"/>
    </row>
    <row r="23" spans="1:10" x14ac:dyDescent="0.3">
      <c r="A23" s="584" t="s">
        <v>144</v>
      </c>
      <c r="B23" s="585"/>
      <c r="C23" s="585"/>
      <c r="D23" s="585"/>
      <c r="E23" s="585"/>
      <c r="F23" s="585"/>
      <c r="G23" s="585"/>
      <c r="H23" s="585"/>
      <c r="I23" s="585"/>
      <c r="J23" s="586"/>
    </row>
    <row r="24" spans="1:10" ht="30" customHeight="1" x14ac:dyDescent="0.3">
      <c r="A24" s="594" t="s">
        <v>327</v>
      </c>
      <c r="B24" s="595"/>
      <c r="C24" s="595"/>
      <c r="D24" s="595"/>
      <c r="E24" s="595"/>
      <c r="F24" s="595"/>
      <c r="G24" s="595"/>
      <c r="H24" s="595"/>
      <c r="I24" s="595"/>
      <c r="J24" s="596"/>
    </row>
    <row r="25" spans="1:10" ht="31.5" customHeight="1" x14ac:dyDescent="0.3">
      <c r="A25" s="594" t="s">
        <v>328</v>
      </c>
      <c r="B25" s="595"/>
      <c r="C25" s="595"/>
      <c r="D25" s="595"/>
      <c r="E25" s="595"/>
      <c r="F25" s="595"/>
      <c r="G25" s="595"/>
      <c r="H25" s="595"/>
      <c r="I25" s="595"/>
      <c r="J25" s="596"/>
    </row>
    <row r="26" spans="1:10" ht="31.5" customHeight="1" x14ac:dyDescent="0.3">
      <c r="A26" s="594" t="s">
        <v>329</v>
      </c>
      <c r="B26" s="595"/>
      <c r="C26" s="595"/>
      <c r="D26" s="595"/>
      <c r="E26" s="595"/>
      <c r="F26" s="595"/>
      <c r="G26" s="595"/>
      <c r="H26" s="595"/>
      <c r="I26" s="595"/>
      <c r="J26" s="596"/>
    </row>
    <row r="28" spans="1:10" x14ac:dyDescent="0.3">
      <c r="A28" s="593"/>
      <c r="B28" s="593"/>
      <c r="C28" s="593"/>
      <c r="D28" s="593"/>
      <c r="E28" s="593"/>
      <c r="F28" s="593"/>
      <c r="G28" s="593"/>
      <c r="H28" s="593"/>
      <c r="I28" s="593"/>
      <c r="J28" s="593"/>
    </row>
    <row r="29" spans="1:10" x14ac:dyDescent="0.3">
      <c r="A29" s="593"/>
      <c r="B29" s="593"/>
      <c r="C29" s="593"/>
      <c r="D29" s="593"/>
      <c r="E29" s="593"/>
      <c r="F29" s="593"/>
      <c r="G29" s="593"/>
      <c r="H29" s="593"/>
      <c r="I29" s="593"/>
      <c r="J29" s="593"/>
    </row>
    <row r="30" spans="1:10" x14ac:dyDescent="0.3">
      <c r="A30" s="593"/>
      <c r="B30" s="593"/>
      <c r="C30" s="593"/>
      <c r="D30" s="593"/>
      <c r="E30" s="593"/>
      <c r="F30" s="593"/>
      <c r="G30" s="593"/>
      <c r="H30" s="593"/>
      <c r="I30" s="593"/>
      <c r="J30" s="593"/>
    </row>
  </sheetData>
  <mergeCells count="13">
    <mergeCell ref="A28:J30"/>
    <mergeCell ref="A21:J21"/>
    <mergeCell ref="A22:J22"/>
    <mergeCell ref="A23:J23"/>
    <mergeCell ref="A24:J24"/>
    <mergeCell ref="A25:J25"/>
    <mergeCell ref="A26:J26"/>
    <mergeCell ref="A20:J20"/>
    <mergeCell ref="D2:E2"/>
    <mergeCell ref="A14:J14"/>
    <mergeCell ref="A15:J15"/>
    <mergeCell ref="A17:J17"/>
    <mergeCell ref="A19:J19"/>
  </mergeCells>
  <pageMargins left="0.7" right="0.7" top="0.75" bottom="0.75" header="0.3" footer="0.3"/>
  <pageSetup paperSize="9" scale="6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32"/>
  <sheetViews>
    <sheetView showGridLines="0" topLeftCell="A10" workbookViewId="0">
      <selection activeCell="J32" sqref="J32"/>
    </sheetView>
  </sheetViews>
  <sheetFormatPr defaultRowHeight="14.4" x14ac:dyDescent="0.3"/>
  <cols>
    <col min="1" max="1" width="21.5546875" bestFit="1" customWidth="1"/>
    <col min="2" max="2" width="18.109375" customWidth="1"/>
    <col min="3" max="3" width="7.5546875" bestFit="1" customWidth="1"/>
    <col min="4" max="4" width="7.88671875" customWidth="1"/>
  </cols>
  <sheetData>
    <row r="2" spans="1:43" s="6" customFormat="1" x14ac:dyDescent="0.3">
      <c r="A2" s="599" t="s">
        <v>145</v>
      </c>
      <c r="B2" s="599"/>
      <c r="C2" s="178">
        <v>21</v>
      </c>
      <c r="D2" s="179">
        <v>21</v>
      </c>
      <c r="E2" s="179">
        <v>23</v>
      </c>
      <c r="F2" s="179">
        <v>21</v>
      </c>
      <c r="G2" s="179">
        <v>22</v>
      </c>
      <c r="H2" s="179">
        <v>22</v>
      </c>
      <c r="I2" s="179">
        <v>20</v>
      </c>
      <c r="J2" s="179">
        <v>14</v>
      </c>
      <c r="K2" s="179">
        <v>19</v>
      </c>
      <c r="L2" s="179">
        <v>20</v>
      </c>
      <c r="M2" s="179">
        <v>21</v>
      </c>
      <c r="N2" s="180"/>
    </row>
    <row r="3" spans="1:43" x14ac:dyDescent="0.3">
      <c r="A3" s="600" t="s">
        <v>146</v>
      </c>
      <c r="B3" s="600"/>
      <c r="C3" s="181">
        <v>41760</v>
      </c>
      <c r="D3" s="181">
        <v>41791</v>
      </c>
      <c r="E3" s="181">
        <v>41821</v>
      </c>
      <c r="F3" s="181">
        <v>41852</v>
      </c>
      <c r="G3" s="181">
        <v>41883</v>
      </c>
      <c r="H3" s="181">
        <v>41913</v>
      </c>
      <c r="I3" s="181">
        <v>41944</v>
      </c>
      <c r="J3" s="181">
        <v>41974</v>
      </c>
      <c r="K3" s="181">
        <v>42005</v>
      </c>
      <c r="L3" s="181">
        <v>42036</v>
      </c>
      <c r="M3" s="181">
        <v>42064</v>
      </c>
      <c r="N3" s="182" t="s">
        <v>147</v>
      </c>
      <c r="O3" s="182" t="s">
        <v>148</v>
      </c>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O3" s="183"/>
      <c r="AP3" s="183"/>
      <c r="AQ3" s="183"/>
    </row>
    <row r="4" spans="1:43" x14ac:dyDescent="0.3">
      <c r="A4" s="184" t="s">
        <v>149</v>
      </c>
      <c r="B4" s="185" t="s">
        <v>150</v>
      </c>
      <c r="C4" s="186">
        <v>7217</v>
      </c>
      <c r="D4" s="186">
        <v>6803</v>
      </c>
      <c r="E4" s="186">
        <v>7646</v>
      </c>
      <c r="F4" s="186">
        <v>6733</v>
      </c>
      <c r="G4" s="186">
        <v>6376</v>
      </c>
      <c r="H4" s="186">
        <v>7581</v>
      </c>
      <c r="I4" s="187">
        <v>8529</v>
      </c>
      <c r="J4" s="186">
        <v>9478</v>
      </c>
      <c r="K4" s="186">
        <v>10118</v>
      </c>
      <c r="L4" s="186">
        <v>9153</v>
      </c>
      <c r="M4" s="186">
        <v>6556</v>
      </c>
      <c r="N4" s="186">
        <f>SUM(C4:M4)</f>
        <v>86190</v>
      </c>
      <c r="O4" s="601"/>
    </row>
    <row r="5" spans="1:43" x14ac:dyDescent="0.3">
      <c r="A5" s="184" t="s">
        <v>151</v>
      </c>
      <c r="B5" s="184" t="s">
        <v>150</v>
      </c>
      <c r="C5" s="186">
        <v>108888</v>
      </c>
      <c r="D5" s="186">
        <v>98319</v>
      </c>
      <c r="E5" s="186">
        <v>109529</v>
      </c>
      <c r="F5" s="186">
        <v>107108</v>
      </c>
      <c r="G5" s="186">
        <v>102836</v>
      </c>
      <c r="H5" s="186">
        <v>117171</v>
      </c>
      <c r="I5" s="188">
        <v>95992</v>
      </c>
      <c r="J5" s="186">
        <v>103562</v>
      </c>
      <c r="K5" s="186">
        <v>111564</v>
      </c>
      <c r="L5" s="186">
        <v>100998</v>
      </c>
      <c r="M5" s="186">
        <v>117587</v>
      </c>
      <c r="N5" s="186">
        <f>SUM(C5:M5)</f>
        <v>1173554</v>
      </c>
      <c r="O5" s="602"/>
    </row>
    <row r="6" spans="1:43" x14ac:dyDescent="0.3">
      <c r="A6" s="184" t="s">
        <v>149</v>
      </c>
      <c r="B6" s="184" t="s">
        <v>152</v>
      </c>
      <c r="C6" s="189">
        <v>411</v>
      </c>
      <c r="D6" s="189">
        <v>469</v>
      </c>
      <c r="E6" s="189">
        <v>484</v>
      </c>
      <c r="F6" s="189">
        <v>436</v>
      </c>
      <c r="G6" s="189">
        <v>429</v>
      </c>
      <c r="H6" s="189">
        <v>392</v>
      </c>
      <c r="I6" s="190">
        <v>456</v>
      </c>
      <c r="J6" s="189">
        <v>576</v>
      </c>
      <c r="K6" s="186">
        <v>611</v>
      </c>
      <c r="L6" s="186">
        <v>495</v>
      </c>
      <c r="M6" s="186">
        <v>364</v>
      </c>
      <c r="N6" s="186">
        <f>SUM(C6:M6)</f>
        <v>5123</v>
      </c>
      <c r="O6" s="602"/>
    </row>
    <row r="7" spans="1:43" x14ac:dyDescent="0.3">
      <c r="A7" s="184" t="s">
        <v>151</v>
      </c>
      <c r="B7" s="184" t="s">
        <v>152</v>
      </c>
      <c r="C7" s="186">
        <v>5526</v>
      </c>
      <c r="D7" s="186">
        <v>5441</v>
      </c>
      <c r="E7" s="186">
        <v>5387</v>
      </c>
      <c r="F7" s="186">
        <v>4993</v>
      </c>
      <c r="G7" s="186">
        <v>5298</v>
      </c>
      <c r="H7" s="186">
        <v>4709</v>
      </c>
      <c r="I7" s="187">
        <v>4384</v>
      </c>
      <c r="J7" s="186">
        <v>4290</v>
      </c>
      <c r="K7" s="186">
        <v>4237</v>
      </c>
      <c r="L7" s="186">
        <v>3971</v>
      </c>
      <c r="M7" s="186">
        <v>4216</v>
      </c>
      <c r="N7" s="186">
        <f>SUM(C7:M7)</f>
        <v>52452</v>
      </c>
      <c r="O7" s="602"/>
    </row>
    <row r="8" spans="1:43" s="5" customFormat="1" x14ac:dyDescent="0.3">
      <c r="A8" s="191"/>
      <c r="B8" s="192" t="s">
        <v>153</v>
      </c>
      <c r="C8" s="193">
        <f t="shared" ref="C8:N8" si="0">SUM(C4:C7)</f>
        <v>122042</v>
      </c>
      <c r="D8" s="193">
        <f t="shared" si="0"/>
        <v>111032</v>
      </c>
      <c r="E8" s="193">
        <f t="shared" si="0"/>
        <v>123046</v>
      </c>
      <c r="F8" s="193">
        <f t="shared" si="0"/>
        <v>119270</v>
      </c>
      <c r="G8" s="193">
        <f t="shared" si="0"/>
        <v>114939</v>
      </c>
      <c r="H8" s="193">
        <f t="shared" si="0"/>
        <v>129853</v>
      </c>
      <c r="I8" s="193">
        <f t="shared" si="0"/>
        <v>109361</v>
      </c>
      <c r="J8" s="193">
        <f t="shared" si="0"/>
        <v>117906</v>
      </c>
      <c r="K8" s="193">
        <f t="shared" si="0"/>
        <v>126530</v>
      </c>
      <c r="L8" s="193">
        <f t="shared" si="0"/>
        <v>114617</v>
      </c>
      <c r="M8" s="193">
        <f t="shared" si="0"/>
        <v>128723</v>
      </c>
      <c r="N8" s="193">
        <f t="shared" si="0"/>
        <v>1317319</v>
      </c>
      <c r="O8" s="602"/>
    </row>
    <row r="9" spans="1:43" s="5" customFormat="1" x14ac:dyDescent="0.3">
      <c r="A9" s="191"/>
      <c r="B9" s="192" t="s">
        <v>154</v>
      </c>
      <c r="C9" s="194">
        <f t="shared" ref="C9:M9" si="1">((C8*$C$31)/$C$24)/$C$27</f>
        <v>15.779985080812269</v>
      </c>
      <c r="D9" s="194">
        <f t="shared" si="1"/>
        <v>14.356396187318692</v>
      </c>
      <c r="E9" s="194">
        <f t="shared" si="1"/>
        <v>15.909801906340657</v>
      </c>
      <c r="F9" s="194">
        <f t="shared" si="1"/>
        <v>15.421566514711978</v>
      </c>
      <c r="G9" s="194">
        <f t="shared" si="1"/>
        <v>14.86156983008703</v>
      </c>
      <c r="H9" s="194">
        <f t="shared" si="1"/>
        <v>16.789944467467883</v>
      </c>
      <c r="I9" s="194">
        <f t="shared" si="1"/>
        <v>14.14033651056776</v>
      </c>
      <c r="J9" s="194">
        <f t="shared" si="1"/>
        <v>15.245201823456281</v>
      </c>
      <c r="K9" s="194">
        <f t="shared" si="1"/>
        <v>16.360281806879406</v>
      </c>
      <c r="L9" s="194">
        <f t="shared" si="1"/>
        <v>14.819935350186494</v>
      </c>
      <c r="M9" s="194">
        <f t="shared" si="1"/>
        <v>16.643835888934941</v>
      </c>
      <c r="N9" s="195"/>
      <c r="O9" s="602"/>
    </row>
    <row r="10" spans="1:43" s="5" customFormat="1" x14ac:dyDescent="0.3">
      <c r="A10" s="191"/>
      <c r="B10" s="192" t="s">
        <v>155</v>
      </c>
      <c r="C10" s="194">
        <f t="shared" ref="C10:M10" si="2">((C8*$C$32)/$C$24)/$C$28</f>
        <v>33.732113856959018</v>
      </c>
      <c r="D10" s="194">
        <f t="shared" si="2"/>
        <v>30.688976465199474</v>
      </c>
      <c r="E10" s="194">
        <f t="shared" si="2"/>
        <v>34.009617030558168</v>
      </c>
      <c r="F10" s="194">
        <f t="shared" si="2"/>
        <v>32.965939756145445</v>
      </c>
      <c r="G10" s="194">
        <f t="shared" si="2"/>
        <v>31.768861823020053</v>
      </c>
      <c r="H10" s="194">
        <f t="shared" si="2"/>
        <v>35.891055379850371</v>
      </c>
      <c r="I10" s="194">
        <f t="shared" si="2"/>
        <v>30.227116103561848</v>
      </c>
      <c r="J10" s="194">
        <f t="shared" si="2"/>
        <v>32.588933452570508</v>
      </c>
      <c r="K10" s="194">
        <f t="shared" si="2"/>
        <v>34.972586210657184</v>
      </c>
      <c r="L10" s="194">
        <f t="shared" si="2"/>
        <v>31.679861801208368</v>
      </c>
      <c r="M10" s="194">
        <f t="shared" si="2"/>
        <v>35.57872611075971</v>
      </c>
      <c r="N10" s="195"/>
      <c r="O10" s="603"/>
    </row>
    <row r="11" spans="1:43" s="5" customFormat="1" x14ac:dyDescent="0.3">
      <c r="A11" s="191"/>
      <c r="B11" s="192" t="s">
        <v>103</v>
      </c>
      <c r="C11" s="196">
        <f t="shared" ref="C11:M11" si="3">SUM(C9:C10)</f>
        <v>49.512098937771285</v>
      </c>
      <c r="D11" s="196">
        <f t="shared" si="3"/>
        <v>45.045372652518168</v>
      </c>
      <c r="E11" s="196">
        <f t="shared" si="3"/>
        <v>49.919418936898822</v>
      </c>
      <c r="F11" s="196">
        <f t="shared" si="3"/>
        <v>48.387506270857422</v>
      </c>
      <c r="G11" s="196">
        <f t="shared" si="3"/>
        <v>46.630431653107081</v>
      </c>
      <c r="H11" s="196">
        <f t="shared" si="3"/>
        <v>52.680999847318255</v>
      </c>
      <c r="I11" s="196">
        <f t="shared" si="3"/>
        <v>44.367452614129604</v>
      </c>
      <c r="J11" s="196">
        <f t="shared" si="3"/>
        <v>47.834135276026785</v>
      </c>
      <c r="K11" s="196">
        <f t="shared" si="3"/>
        <v>51.33286801753659</v>
      </c>
      <c r="L11" s="196">
        <f t="shared" si="3"/>
        <v>46.499797151394858</v>
      </c>
      <c r="M11" s="196">
        <f t="shared" si="3"/>
        <v>52.222561999694648</v>
      </c>
      <c r="N11" s="197"/>
      <c r="O11" s="198">
        <f>AVERAGE(C11:M11)</f>
        <v>48.584785759750325</v>
      </c>
    </row>
    <row r="12" spans="1:43" s="33" customFormat="1" x14ac:dyDescent="0.3">
      <c r="A12" s="600" t="s">
        <v>156</v>
      </c>
      <c r="B12" s="600"/>
      <c r="C12" s="181">
        <v>41760</v>
      </c>
      <c r="D12" s="181">
        <v>41791</v>
      </c>
      <c r="E12" s="181">
        <v>41821</v>
      </c>
      <c r="F12" s="181">
        <v>41852</v>
      </c>
      <c r="G12" s="181">
        <v>41883</v>
      </c>
      <c r="H12" s="181">
        <v>41913</v>
      </c>
      <c r="I12" s="181">
        <v>41944</v>
      </c>
      <c r="J12" s="181">
        <v>41974</v>
      </c>
      <c r="K12" s="181">
        <v>42005</v>
      </c>
      <c r="L12" s="181">
        <v>42036</v>
      </c>
      <c r="M12" s="181">
        <v>42064</v>
      </c>
      <c r="N12" s="199" t="s">
        <v>147</v>
      </c>
      <c r="O12" s="182" t="s">
        <v>148</v>
      </c>
    </row>
    <row r="13" spans="1:43" x14ac:dyDescent="0.3">
      <c r="A13" s="184" t="s">
        <v>149</v>
      </c>
      <c r="B13" s="184" t="s">
        <v>157</v>
      </c>
      <c r="C13" s="186">
        <v>665</v>
      </c>
      <c r="D13" s="186">
        <v>759</v>
      </c>
      <c r="E13" s="186">
        <v>891</v>
      </c>
      <c r="F13" s="186">
        <v>768</v>
      </c>
      <c r="G13" s="186">
        <v>822</v>
      </c>
      <c r="H13" s="186">
        <v>831</v>
      </c>
      <c r="I13" s="187">
        <v>906</v>
      </c>
      <c r="J13" s="186">
        <v>765</v>
      </c>
      <c r="K13" s="186">
        <v>928</v>
      </c>
      <c r="L13" s="186">
        <v>707</v>
      </c>
      <c r="M13" s="186">
        <v>603</v>
      </c>
      <c r="N13" s="186">
        <f>SUM(C13:M13)</f>
        <v>8645</v>
      </c>
      <c r="O13" s="601"/>
    </row>
    <row r="14" spans="1:43" x14ac:dyDescent="0.3">
      <c r="A14" s="184" t="s">
        <v>151</v>
      </c>
      <c r="B14" s="184" t="s">
        <v>157</v>
      </c>
      <c r="C14" s="186">
        <v>18698</v>
      </c>
      <c r="D14" s="186">
        <v>18706</v>
      </c>
      <c r="E14" s="186">
        <v>20617</v>
      </c>
      <c r="F14" s="186">
        <v>18008</v>
      </c>
      <c r="G14" s="186">
        <v>19522</v>
      </c>
      <c r="H14" s="186">
        <v>20162</v>
      </c>
      <c r="I14" s="187">
        <v>18809</v>
      </c>
      <c r="J14" s="200">
        <v>20826</v>
      </c>
      <c r="K14" s="186">
        <v>20023</v>
      </c>
      <c r="L14" s="186">
        <v>17638</v>
      </c>
      <c r="M14" s="186">
        <v>18620</v>
      </c>
      <c r="N14" s="186">
        <f>SUM(C14:M14)</f>
        <v>211629</v>
      </c>
      <c r="O14" s="602"/>
    </row>
    <row r="15" spans="1:43" s="5" customFormat="1" x14ac:dyDescent="0.3">
      <c r="A15" s="201"/>
      <c r="B15" s="192" t="s">
        <v>153</v>
      </c>
      <c r="C15" s="193">
        <f t="shared" ref="C15:N15" si="4">SUM(C13:C14)</f>
        <v>19363</v>
      </c>
      <c r="D15" s="193">
        <f t="shared" si="4"/>
        <v>19465</v>
      </c>
      <c r="E15" s="193">
        <f t="shared" si="4"/>
        <v>21508</v>
      </c>
      <c r="F15" s="193">
        <f t="shared" si="4"/>
        <v>18776</v>
      </c>
      <c r="G15" s="193">
        <f t="shared" si="4"/>
        <v>20344</v>
      </c>
      <c r="H15" s="193">
        <f t="shared" si="4"/>
        <v>20993</v>
      </c>
      <c r="I15" s="193">
        <f t="shared" si="4"/>
        <v>19715</v>
      </c>
      <c r="J15" s="193">
        <f t="shared" si="4"/>
        <v>21591</v>
      </c>
      <c r="K15" s="193">
        <f t="shared" si="4"/>
        <v>20951</v>
      </c>
      <c r="L15" s="193">
        <f t="shared" si="4"/>
        <v>18345</v>
      </c>
      <c r="M15" s="193">
        <f t="shared" si="4"/>
        <v>19223</v>
      </c>
      <c r="N15" s="193">
        <f t="shared" si="4"/>
        <v>220274</v>
      </c>
      <c r="O15" s="603"/>
    </row>
    <row r="16" spans="1:43" x14ac:dyDescent="0.3">
      <c r="A16" s="202"/>
      <c r="B16" s="203" t="s">
        <v>158</v>
      </c>
      <c r="C16" s="204">
        <f t="shared" ref="C16:M16" si="5">C15/$C$24/$C$26</f>
        <v>30.263643360369432</v>
      </c>
      <c r="D16" s="204">
        <f t="shared" si="5"/>
        <v>30.423065537860403</v>
      </c>
      <c r="E16" s="204">
        <f t="shared" si="5"/>
        <v>33.616197975253094</v>
      </c>
      <c r="F16" s="204">
        <f t="shared" si="5"/>
        <v>29.346184358534135</v>
      </c>
      <c r="G16" s="204">
        <f t="shared" si="5"/>
        <v>31.796909596826715</v>
      </c>
      <c r="H16" s="204">
        <f t="shared" si="5"/>
        <v>32.811272275176137</v>
      </c>
      <c r="I16" s="204">
        <f t="shared" si="5"/>
        <v>30.813806168965726</v>
      </c>
      <c r="J16" s="204">
        <f t="shared" si="5"/>
        <v>33.74592386478006</v>
      </c>
      <c r="K16" s="204">
        <f t="shared" si="5"/>
        <v>32.745627849150445</v>
      </c>
      <c r="L16" s="204">
        <f t="shared" si="5"/>
        <v>28.672547510508558</v>
      </c>
      <c r="M16" s="204">
        <f t="shared" si="5"/>
        <v>30.04482860695045</v>
      </c>
      <c r="N16" s="205"/>
      <c r="O16" s="198">
        <f>AVERAGE(C16:M16)</f>
        <v>31.298182464034099</v>
      </c>
    </row>
    <row r="17" spans="1:15" s="5" customFormat="1" x14ac:dyDescent="0.3">
      <c r="A17" s="604" t="s">
        <v>159</v>
      </c>
      <c r="B17" s="604"/>
      <c r="C17" s="206">
        <f t="shared" ref="C17:M17" si="6">C11+C16</f>
        <v>79.775742298140713</v>
      </c>
      <c r="D17" s="206">
        <f t="shared" si="6"/>
        <v>75.468438190378578</v>
      </c>
      <c r="E17" s="206">
        <f t="shared" si="6"/>
        <v>83.535616912151909</v>
      </c>
      <c r="F17" s="206">
        <f t="shared" si="6"/>
        <v>77.73369062939156</v>
      </c>
      <c r="G17" s="206">
        <f t="shared" si="6"/>
        <v>78.427341249933789</v>
      </c>
      <c r="H17" s="206">
        <f t="shared" si="6"/>
        <v>85.492272122494398</v>
      </c>
      <c r="I17" s="206">
        <f t="shared" si="6"/>
        <v>75.181258783095331</v>
      </c>
      <c r="J17" s="206">
        <f t="shared" si="6"/>
        <v>81.580059140806839</v>
      </c>
      <c r="K17" s="206">
        <f t="shared" si="6"/>
        <v>84.078495866687035</v>
      </c>
      <c r="L17" s="206">
        <f t="shared" si="6"/>
        <v>75.172344661903423</v>
      </c>
      <c r="M17" s="206">
        <f t="shared" si="6"/>
        <v>82.267390606645094</v>
      </c>
      <c r="N17" s="207"/>
      <c r="O17" s="198">
        <f>AVERAGE(C17:M17)</f>
        <v>79.882968223784417</v>
      </c>
    </row>
    <row r="18" spans="1:15" s="5" customFormat="1" x14ac:dyDescent="0.3">
      <c r="A18" s="151"/>
      <c r="B18" s="151"/>
      <c r="C18" s="208"/>
      <c r="D18" s="208"/>
      <c r="E18" s="208"/>
      <c r="F18" s="208"/>
      <c r="G18" s="208"/>
      <c r="H18" s="208"/>
      <c r="I18" s="208"/>
      <c r="J18" s="208"/>
      <c r="K18" s="208"/>
      <c r="L18" s="208"/>
      <c r="M18" s="208"/>
      <c r="N18" s="150"/>
      <c r="O18" s="209"/>
    </row>
    <row r="19" spans="1:15" ht="15" thickBot="1" x14ac:dyDescent="0.35"/>
    <row r="20" spans="1:15" s="5" customFormat="1" ht="15" thickBot="1" x14ac:dyDescent="0.35">
      <c r="A20" s="605" t="s">
        <v>160</v>
      </c>
      <c r="B20" s="606"/>
      <c r="C20" s="607"/>
      <c r="E20" s="210"/>
      <c r="F20" s="608" t="s">
        <v>161</v>
      </c>
      <c r="G20" s="608"/>
      <c r="H20" s="608"/>
      <c r="I20" s="608"/>
      <c r="J20" s="608"/>
      <c r="K20" s="608"/>
      <c r="L20" s="608"/>
      <c r="M20" s="608"/>
      <c r="N20" s="608"/>
      <c r="O20" s="608"/>
    </row>
    <row r="21" spans="1:15" x14ac:dyDescent="0.3">
      <c r="A21" s="609" t="s">
        <v>162</v>
      </c>
      <c r="B21" s="610"/>
      <c r="C21" s="211">
        <f>AVERAGE(C2:M2)</f>
        <v>20.363636363636363</v>
      </c>
      <c r="E21" s="212"/>
      <c r="F21" s="611" t="s">
        <v>137</v>
      </c>
      <c r="G21" s="612"/>
      <c r="H21" s="612"/>
      <c r="I21" s="612"/>
      <c r="J21" s="612"/>
      <c r="K21" s="612"/>
      <c r="L21" s="612"/>
      <c r="M21" s="612"/>
      <c r="N21" s="613"/>
      <c r="O21" s="212"/>
    </row>
    <row r="22" spans="1:15" x14ac:dyDescent="0.3">
      <c r="A22" s="597" t="s">
        <v>163</v>
      </c>
      <c r="B22" s="598"/>
      <c r="C22" s="213">
        <f>20/12</f>
        <v>1.6666666666666667</v>
      </c>
      <c r="E22" s="212"/>
      <c r="F22" s="186">
        <f>1%*AVERAGE(C8:M8)</f>
        <v>1197.5627272727272</v>
      </c>
      <c r="G22" s="214" t="s">
        <v>164</v>
      </c>
      <c r="H22" s="214"/>
      <c r="I22" s="214"/>
      <c r="J22" s="214"/>
      <c r="K22" s="214"/>
      <c r="L22" s="214"/>
      <c r="M22" s="214"/>
      <c r="N22" s="215"/>
      <c r="O22" s="212"/>
    </row>
    <row r="23" spans="1:15" x14ac:dyDescent="0.3">
      <c r="A23" s="597" t="s">
        <v>165</v>
      </c>
      <c r="B23" s="598"/>
      <c r="C23" s="213">
        <f>5/12</f>
        <v>0.41666666666666669</v>
      </c>
      <c r="E23" s="212"/>
      <c r="F23" s="513"/>
      <c r="G23" s="216" t="s">
        <v>166</v>
      </c>
      <c r="H23" s="216"/>
      <c r="I23" s="67"/>
      <c r="J23" s="67"/>
      <c r="K23" s="67"/>
      <c r="L23" s="67"/>
      <c r="M23" s="67"/>
      <c r="N23" s="217"/>
      <c r="O23" s="212"/>
    </row>
    <row r="24" spans="1:15" x14ac:dyDescent="0.3">
      <c r="A24" s="597" t="s">
        <v>167</v>
      </c>
      <c r="B24" s="598"/>
      <c r="C24" s="213">
        <f>C21-C22-C23</f>
        <v>18.280303030303028</v>
      </c>
      <c r="E24" s="212"/>
      <c r="F24" s="611" t="s">
        <v>138</v>
      </c>
      <c r="G24" s="612"/>
      <c r="H24" s="612"/>
      <c r="I24" s="612"/>
      <c r="J24" s="612"/>
      <c r="K24" s="612"/>
      <c r="L24" s="612"/>
      <c r="M24" s="612"/>
      <c r="N24" s="613"/>
      <c r="O24" s="212"/>
    </row>
    <row r="25" spans="1:15" x14ac:dyDescent="0.3">
      <c r="A25" s="614"/>
      <c r="B25" s="615"/>
      <c r="C25" s="218"/>
      <c r="E25" s="212"/>
      <c r="F25" s="186">
        <f>AVERAGE(C15:M15)</f>
        <v>20024.909090909092</v>
      </c>
      <c r="G25" s="214" t="s">
        <v>168</v>
      </c>
      <c r="H25" s="214"/>
      <c r="I25" s="214"/>
      <c r="J25" s="214"/>
      <c r="K25" s="214"/>
      <c r="L25" s="214"/>
      <c r="M25" s="214"/>
      <c r="N25" s="215"/>
      <c r="O25" s="212"/>
    </row>
    <row r="26" spans="1:15" x14ac:dyDescent="0.3">
      <c r="A26" s="597" t="s">
        <v>169</v>
      </c>
      <c r="B26" s="598"/>
      <c r="C26" s="219">
        <v>35</v>
      </c>
      <c r="E26" s="212"/>
      <c r="F26" s="186">
        <f>0.7*F25</f>
        <v>14017.436363636363</v>
      </c>
      <c r="G26" s="214" t="s">
        <v>170</v>
      </c>
      <c r="H26" s="214"/>
      <c r="I26" s="214"/>
      <c r="J26" s="214"/>
      <c r="K26" s="214"/>
      <c r="L26" s="214"/>
      <c r="M26" s="214"/>
      <c r="N26" s="215"/>
      <c r="O26" s="212"/>
    </row>
    <row r="27" spans="1:15" x14ac:dyDescent="0.3">
      <c r="A27" s="597" t="s">
        <v>171</v>
      </c>
      <c r="B27" s="598"/>
      <c r="C27" s="219">
        <v>220</v>
      </c>
      <c r="E27" s="212"/>
      <c r="F27" s="186">
        <f>F25-F26</f>
        <v>6007.4727272727287</v>
      </c>
      <c r="G27" s="214" t="s">
        <v>172</v>
      </c>
      <c r="H27" s="214"/>
      <c r="I27" s="214"/>
      <c r="J27" s="214"/>
      <c r="K27" s="214"/>
      <c r="L27" s="214"/>
      <c r="M27" s="214"/>
      <c r="N27" s="215"/>
      <c r="O27" s="212"/>
    </row>
    <row r="28" spans="1:15" x14ac:dyDescent="0.3">
      <c r="A28" s="597" t="s">
        <v>173</v>
      </c>
      <c r="B28" s="598"/>
      <c r="C28" s="219">
        <v>95</v>
      </c>
      <c r="E28" s="212"/>
      <c r="F28" s="514"/>
      <c r="G28" s="221" t="s">
        <v>166</v>
      </c>
      <c r="H28" s="221"/>
      <c r="I28" s="221"/>
      <c r="J28" s="214"/>
      <c r="K28" s="214"/>
      <c r="L28" s="214"/>
      <c r="M28" s="214"/>
      <c r="N28" s="215"/>
      <c r="O28" s="212"/>
    </row>
    <row r="29" spans="1:15" x14ac:dyDescent="0.3">
      <c r="A29" s="597" t="s">
        <v>174</v>
      </c>
      <c r="B29" s="598"/>
      <c r="C29" s="219">
        <v>70</v>
      </c>
      <c r="E29" s="212"/>
      <c r="F29" s="212"/>
      <c r="G29" s="212"/>
      <c r="H29" s="212"/>
      <c r="I29" s="212"/>
      <c r="J29" s="212"/>
      <c r="K29" s="212"/>
      <c r="L29" s="212"/>
      <c r="M29" s="212"/>
      <c r="N29" s="212"/>
      <c r="O29" s="212"/>
    </row>
    <row r="30" spans="1:15" x14ac:dyDescent="0.3">
      <c r="A30" s="614"/>
      <c r="B30" s="615"/>
      <c r="C30" s="218"/>
    </row>
    <row r="31" spans="1:15" x14ac:dyDescent="0.3">
      <c r="A31" s="597" t="s">
        <v>175</v>
      </c>
      <c r="B31" s="598"/>
      <c r="C31" s="222">
        <v>0.52</v>
      </c>
    </row>
    <row r="32" spans="1:15" ht="15" thickBot="1" x14ac:dyDescent="0.35">
      <c r="A32" s="616" t="s">
        <v>176</v>
      </c>
      <c r="B32" s="617"/>
      <c r="C32" s="223">
        <v>0.48</v>
      </c>
    </row>
  </sheetData>
  <mergeCells count="22">
    <mergeCell ref="A29:B29"/>
    <mergeCell ref="A30:B30"/>
    <mergeCell ref="A31:B31"/>
    <mergeCell ref="A32:B32"/>
    <mergeCell ref="A24:B24"/>
    <mergeCell ref="F24:N24"/>
    <mergeCell ref="A25:B25"/>
    <mergeCell ref="A26:B26"/>
    <mergeCell ref="A27:B27"/>
    <mergeCell ref="A28:B28"/>
    <mergeCell ref="A23:B23"/>
    <mergeCell ref="A2:B2"/>
    <mergeCell ref="A3:B3"/>
    <mergeCell ref="O4:O10"/>
    <mergeCell ref="A12:B12"/>
    <mergeCell ref="O13:O15"/>
    <mergeCell ref="A17:B17"/>
    <mergeCell ref="A20:C20"/>
    <mergeCell ref="F20:O20"/>
    <mergeCell ref="A21:B21"/>
    <mergeCell ref="F21:N21"/>
    <mergeCell ref="A22:B2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election activeCell="G10" sqref="G10"/>
    </sheetView>
  </sheetViews>
  <sheetFormatPr defaultRowHeight="14.4" x14ac:dyDescent="0.3"/>
  <cols>
    <col min="2" max="2" width="12.88671875" bestFit="1" customWidth="1"/>
    <col min="4" max="4" width="13.33203125" style="167" customWidth="1"/>
    <col min="5" max="5" width="11.33203125" customWidth="1"/>
    <col min="6" max="6" width="13.6640625" customWidth="1"/>
    <col min="7" max="7" width="15.109375" customWidth="1"/>
    <col min="8" max="8" width="8" customWidth="1"/>
    <col min="9" max="9" width="11.5546875" bestFit="1" customWidth="1"/>
  </cols>
  <sheetData>
    <row r="1" spans="1:9" ht="15" thickBot="1" x14ac:dyDescent="0.35"/>
    <row r="2" spans="1:9" x14ac:dyDescent="0.3">
      <c r="A2" s="224"/>
      <c r="B2" s="620" t="s">
        <v>177</v>
      </c>
      <c r="C2" s="620"/>
      <c r="D2" s="620"/>
      <c r="E2" s="620"/>
      <c r="F2" s="620"/>
      <c r="G2" s="620"/>
      <c r="H2" s="620"/>
      <c r="I2" s="621"/>
    </row>
    <row r="3" spans="1:9" s="5" customFormat="1" ht="28.8" x14ac:dyDescent="0.3">
      <c r="A3" s="225"/>
      <c r="B3" s="226"/>
      <c r="C3" s="226"/>
      <c r="D3" s="227" t="s">
        <v>178</v>
      </c>
      <c r="E3" s="622" t="s">
        <v>179</v>
      </c>
      <c r="F3" s="622"/>
      <c r="G3" s="622" t="s">
        <v>180</v>
      </c>
      <c r="H3" s="622"/>
      <c r="I3" s="228" t="s">
        <v>181</v>
      </c>
    </row>
    <row r="4" spans="1:9" s="5" customFormat="1" x14ac:dyDescent="0.3">
      <c r="A4" s="229" t="s">
        <v>182</v>
      </c>
      <c r="B4" s="220" t="s">
        <v>183</v>
      </c>
      <c r="C4" s="220" t="s">
        <v>184</v>
      </c>
      <c r="D4" s="230"/>
      <c r="E4" s="230" t="s">
        <v>185</v>
      </c>
      <c r="F4" s="230" t="s">
        <v>186</v>
      </c>
      <c r="G4" s="230" t="s">
        <v>185</v>
      </c>
      <c r="H4" s="230" t="s">
        <v>186</v>
      </c>
      <c r="I4" s="231" t="s">
        <v>186</v>
      </c>
    </row>
    <row r="5" spans="1:9" x14ac:dyDescent="0.3">
      <c r="A5" s="232">
        <v>0.10883482714468631</v>
      </c>
      <c r="B5" s="186" t="s">
        <v>187</v>
      </c>
      <c r="C5" s="186" t="s">
        <v>188</v>
      </c>
      <c r="D5" s="233">
        <v>1</v>
      </c>
      <c r="E5" s="234">
        <f>A5*'Actuals + Forecasts'!$O$11</f>
        <v>5.2877167600240433</v>
      </c>
      <c r="F5" s="234">
        <v>5</v>
      </c>
      <c r="G5" s="234">
        <f>A5*'Actuals + Forecasts'!$O$16</f>
        <v>3.4063322784160035</v>
      </c>
      <c r="H5" s="234">
        <v>3.5</v>
      </c>
      <c r="I5" s="219"/>
    </row>
    <row r="6" spans="1:9" x14ac:dyDescent="0.3">
      <c r="A6" s="232">
        <v>0.14084507042253522</v>
      </c>
      <c r="B6" s="186" t="s">
        <v>189</v>
      </c>
      <c r="C6" s="186" t="s">
        <v>190</v>
      </c>
      <c r="D6" s="233">
        <v>1</v>
      </c>
      <c r="E6" s="234">
        <f>A6*'Actuals + Forecasts'!$O$11</f>
        <v>6.8429275717958209</v>
      </c>
      <c r="F6" s="234">
        <v>6</v>
      </c>
      <c r="G6" s="234">
        <f>A6*'Actuals + Forecasts'!$O$16</f>
        <v>4.4081947132442396</v>
      </c>
      <c r="H6" s="234">
        <v>5</v>
      </c>
      <c r="I6" s="219">
        <v>3</v>
      </c>
    </row>
    <row r="7" spans="1:9" x14ac:dyDescent="0.3">
      <c r="A7" s="232">
        <v>7.6824583866837395E-2</v>
      </c>
      <c r="B7" s="186" t="s">
        <v>191</v>
      </c>
      <c r="C7" s="186" t="s">
        <v>188</v>
      </c>
      <c r="D7" s="233">
        <v>1</v>
      </c>
      <c r="E7" s="234">
        <f>A7*'Actuals + Forecasts'!$O$11</f>
        <v>3.7325059482522662</v>
      </c>
      <c r="F7" s="234">
        <v>3</v>
      </c>
      <c r="G7" s="234">
        <f>A7*'Actuals + Forecasts'!$O$16</f>
        <v>2.4044698435877669</v>
      </c>
      <c r="H7" s="234">
        <v>3</v>
      </c>
      <c r="I7" s="219"/>
    </row>
    <row r="8" spans="1:9" x14ac:dyDescent="0.3">
      <c r="A8" s="232">
        <v>0.17925736235595391</v>
      </c>
      <c r="B8" s="186" t="s">
        <v>192</v>
      </c>
      <c r="C8" s="186" t="s">
        <v>190</v>
      </c>
      <c r="D8" s="233">
        <v>1</v>
      </c>
      <c r="E8" s="234">
        <f>A8*'Actuals + Forecasts'!$O$11</f>
        <v>8.7091805459219529</v>
      </c>
      <c r="F8" s="234">
        <v>8</v>
      </c>
      <c r="G8" s="234">
        <f>A8*'Actuals + Forecasts'!$O$16</f>
        <v>5.6104296350381224</v>
      </c>
      <c r="H8" s="234">
        <v>6</v>
      </c>
      <c r="I8" s="219">
        <v>3</v>
      </c>
    </row>
    <row r="9" spans="1:9" x14ac:dyDescent="0.3">
      <c r="A9" s="232">
        <v>0.17925736235595391</v>
      </c>
      <c r="B9" s="186" t="s">
        <v>193</v>
      </c>
      <c r="C9" s="186" t="s">
        <v>190</v>
      </c>
      <c r="D9" s="233">
        <v>1</v>
      </c>
      <c r="E9" s="234">
        <f>A9*'Actuals + Forecasts'!$O$11</f>
        <v>8.7091805459219529</v>
      </c>
      <c r="F9" s="234">
        <v>8</v>
      </c>
      <c r="G9" s="234">
        <f>A9*'Actuals + Forecasts'!$O$16</f>
        <v>5.6104296350381224</v>
      </c>
      <c r="H9" s="234">
        <v>6</v>
      </c>
      <c r="I9" s="219">
        <v>1</v>
      </c>
    </row>
    <row r="10" spans="1:9" x14ac:dyDescent="0.3">
      <c r="A10" s="232">
        <v>0.11523687580025609</v>
      </c>
      <c r="B10" s="186" t="s">
        <v>194</v>
      </c>
      <c r="C10" s="186" t="s">
        <v>188</v>
      </c>
      <c r="D10" s="233">
        <v>1</v>
      </c>
      <c r="E10" s="234">
        <f>A10*'Actuals + Forecasts'!$O$11</f>
        <v>5.5987589223783987</v>
      </c>
      <c r="F10" s="234">
        <v>5</v>
      </c>
      <c r="G10" s="234">
        <f>A10*'Actuals + Forecasts'!$O$16</f>
        <v>3.6067047653816506</v>
      </c>
      <c r="H10" s="234">
        <v>4</v>
      </c>
      <c r="I10" s="219"/>
    </row>
    <row r="11" spans="1:9" x14ac:dyDescent="0.3">
      <c r="A11" s="232">
        <v>9.7311139564660698E-2</v>
      </c>
      <c r="B11" s="186" t="s">
        <v>195</v>
      </c>
      <c r="C11" s="186" t="s">
        <v>188</v>
      </c>
      <c r="D11" s="233">
        <v>1</v>
      </c>
      <c r="E11" s="234">
        <f>A11*'Actuals + Forecasts'!$O$11</f>
        <v>4.7278408677862034</v>
      </c>
      <c r="F11" s="234">
        <v>4.5999999999999996</v>
      </c>
      <c r="G11" s="234">
        <f>A11*'Actuals + Forecasts'!$O$16</f>
        <v>3.0456618018778383</v>
      </c>
      <c r="H11" s="234">
        <v>3</v>
      </c>
      <c r="I11" s="219">
        <v>1</v>
      </c>
    </row>
    <row r="12" spans="1:9" x14ac:dyDescent="0.3">
      <c r="A12" s="232">
        <v>0.10243277848911653</v>
      </c>
      <c r="B12" s="186" t="s">
        <v>196</v>
      </c>
      <c r="C12" s="186" t="s">
        <v>188</v>
      </c>
      <c r="D12" s="233">
        <v>1</v>
      </c>
      <c r="E12" s="234">
        <f>A12*'Actuals + Forecasts'!$O$11</f>
        <v>4.976674597669688</v>
      </c>
      <c r="F12" s="234">
        <v>5</v>
      </c>
      <c r="G12" s="234">
        <f>A12*'Actuals + Forecasts'!$O$16</f>
        <v>3.2059597914503564</v>
      </c>
      <c r="H12" s="234">
        <v>3</v>
      </c>
      <c r="I12" s="219"/>
    </row>
    <row r="13" spans="1:9" s="5" customFormat="1" x14ac:dyDescent="0.3">
      <c r="A13" s="225"/>
      <c r="B13" s="623" t="s">
        <v>197</v>
      </c>
      <c r="C13" s="623"/>
      <c r="D13" s="235">
        <f>SUM(D5:D12)</f>
        <v>8</v>
      </c>
      <c r="E13" s="236"/>
      <c r="F13" s="237">
        <f t="shared" ref="F13:I13" si="0">SUM(F5:F12)</f>
        <v>44.6</v>
      </c>
      <c r="G13" s="236"/>
      <c r="H13" s="237">
        <f t="shared" si="0"/>
        <v>33.5</v>
      </c>
      <c r="I13" s="238">
        <f t="shared" si="0"/>
        <v>8</v>
      </c>
    </row>
    <row r="14" spans="1:9" s="5" customFormat="1" x14ac:dyDescent="0.3">
      <c r="A14" s="225"/>
      <c r="B14" s="226"/>
      <c r="C14" s="226"/>
      <c r="D14" s="239"/>
      <c r="E14" s="239"/>
      <c r="F14" s="239"/>
      <c r="G14" s="239"/>
      <c r="H14" s="239"/>
      <c r="I14" s="240"/>
    </row>
    <row r="15" spans="1:9" s="5" customFormat="1" x14ac:dyDescent="0.3">
      <c r="A15" s="225"/>
      <c r="B15" s="226"/>
      <c r="C15" s="226"/>
      <c r="D15" s="624" t="s">
        <v>198</v>
      </c>
      <c r="E15" s="624"/>
      <c r="F15" s="624"/>
      <c r="G15" s="624"/>
      <c r="H15" s="624"/>
      <c r="I15" s="625"/>
    </row>
    <row r="16" spans="1:9" x14ac:dyDescent="0.3">
      <c r="A16" s="241"/>
      <c r="B16" s="186" t="s">
        <v>140</v>
      </c>
      <c r="C16" s="186">
        <v>1</v>
      </c>
      <c r="D16" s="598" t="s">
        <v>199</v>
      </c>
      <c r="E16" s="598"/>
      <c r="F16" s="598"/>
      <c r="G16" s="598"/>
      <c r="H16" s="598"/>
      <c r="I16" s="618"/>
    </row>
    <row r="17" spans="1:9" x14ac:dyDescent="0.3">
      <c r="A17" s="241"/>
      <c r="B17" s="186" t="s">
        <v>139</v>
      </c>
      <c r="C17" s="186">
        <v>2</v>
      </c>
      <c r="D17" s="598" t="s">
        <v>200</v>
      </c>
      <c r="E17" s="598"/>
      <c r="F17" s="598"/>
      <c r="G17" s="598"/>
      <c r="H17" s="598"/>
      <c r="I17" s="618"/>
    </row>
    <row r="18" spans="1:9" ht="15" thickBot="1" x14ac:dyDescent="0.35">
      <c r="A18" s="242"/>
      <c r="B18" s="243" t="s">
        <v>97</v>
      </c>
      <c r="C18" s="244">
        <v>5</v>
      </c>
      <c r="D18" s="617" t="s">
        <v>201</v>
      </c>
      <c r="E18" s="617"/>
      <c r="F18" s="617"/>
      <c r="G18" s="617"/>
      <c r="H18" s="617"/>
      <c r="I18" s="619"/>
    </row>
    <row r="23" spans="1:9" x14ac:dyDescent="0.3">
      <c r="A23" s="245"/>
    </row>
    <row r="24" spans="1:9" x14ac:dyDescent="0.3">
      <c r="A24" s="245"/>
    </row>
    <row r="25" spans="1:9" x14ac:dyDescent="0.3">
      <c r="A25" s="245"/>
    </row>
    <row r="26" spans="1:9" x14ac:dyDescent="0.3">
      <c r="A26" s="245"/>
    </row>
    <row r="27" spans="1:9" x14ac:dyDescent="0.3">
      <c r="A27" s="245"/>
    </row>
    <row r="28" spans="1:9" x14ac:dyDescent="0.3">
      <c r="A28" s="245"/>
    </row>
    <row r="29" spans="1:9" x14ac:dyDescent="0.3">
      <c r="A29" s="245"/>
    </row>
    <row r="30" spans="1:9" x14ac:dyDescent="0.3">
      <c r="A30" s="245"/>
    </row>
    <row r="31" spans="1:9" x14ac:dyDescent="0.3">
      <c r="A31" s="245"/>
    </row>
  </sheetData>
  <mergeCells count="8">
    <mergeCell ref="D17:I17"/>
    <mergeCell ref="D18:I18"/>
    <mergeCell ref="B2:I2"/>
    <mergeCell ref="E3:F3"/>
    <mergeCell ref="G3:H3"/>
    <mergeCell ref="B13:C13"/>
    <mergeCell ref="D15:I15"/>
    <mergeCell ref="D16:I1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H72"/>
  <sheetViews>
    <sheetView showGridLines="0" topLeftCell="A43" zoomScaleNormal="100" workbookViewId="0">
      <selection activeCell="G59" sqref="G59"/>
    </sheetView>
  </sheetViews>
  <sheetFormatPr defaultRowHeight="14.4" x14ac:dyDescent="0.3"/>
  <cols>
    <col min="1" max="1" width="17.5546875" bestFit="1" customWidth="1"/>
    <col min="2" max="2" width="12.109375" bestFit="1" customWidth="1"/>
    <col min="3" max="3" width="10.5546875" customWidth="1"/>
    <col min="4" max="4" width="11.44140625" customWidth="1"/>
    <col min="5" max="5" width="12.33203125" customWidth="1"/>
    <col min="6" max="6" width="15.109375" customWidth="1"/>
    <col min="7" max="7" width="15.5546875" customWidth="1"/>
    <col min="8" max="8" width="13.109375" customWidth="1"/>
    <col min="9" max="9" width="15.88671875" customWidth="1"/>
    <col min="10" max="11" width="12.21875" customWidth="1"/>
    <col min="12" max="12" width="9.6640625" customWidth="1"/>
    <col min="13" max="13" width="10.44140625" customWidth="1"/>
    <col min="14" max="18" width="10" customWidth="1"/>
    <col min="19" max="24" width="9.5546875" customWidth="1"/>
    <col min="25" max="32" width="10.33203125" customWidth="1"/>
    <col min="33" max="39" width="9.44140625" customWidth="1"/>
    <col min="40" max="45" width="8.88671875" customWidth="1"/>
    <col min="46" max="50" width="9.88671875" customWidth="1"/>
    <col min="51" max="55" width="9.6640625" customWidth="1"/>
    <col min="56" max="59" width="9.44140625" customWidth="1"/>
    <col min="60" max="63" width="10" customWidth="1"/>
    <col min="64" max="67" width="9.6640625" customWidth="1"/>
    <col min="68" max="71" width="9.33203125" customWidth="1"/>
    <col min="72" max="75" width="9.6640625" customWidth="1"/>
    <col min="76" max="80" width="10" customWidth="1"/>
    <col min="81" max="83" width="9.5546875" customWidth="1"/>
    <col min="84" max="84" width="6" bestFit="1" customWidth="1"/>
    <col min="85" max="85" width="5.5546875" bestFit="1" customWidth="1"/>
    <col min="86" max="86" width="5.6640625" bestFit="1" customWidth="1"/>
  </cols>
  <sheetData>
    <row r="2" spans="1:86" x14ac:dyDescent="0.3">
      <c r="A2" s="79" t="s">
        <v>202</v>
      </c>
    </row>
    <row r="3" spans="1:86" x14ac:dyDescent="0.3">
      <c r="A3" s="246" t="s">
        <v>203</v>
      </c>
      <c r="B3" s="247">
        <v>41591</v>
      </c>
      <c r="C3" s="247">
        <v>41603</v>
      </c>
      <c r="D3" s="247">
        <v>41606</v>
      </c>
      <c r="E3" s="247">
        <v>41618</v>
      </c>
      <c r="F3" s="247">
        <v>41621</v>
      </c>
      <c r="G3" s="247">
        <v>41627</v>
      </c>
      <c r="H3" s="247">
        <v>41660</v>
      </c>
      <c r="I3" s="247">
        <v>41674</v>
      </c>
      <c r="J3" s="247">
        <v>41676</v>
      </c>
      <c r="K3" s="247">
        <v>41677</v>
      </c>
      <c r="L3" s="247">
        <v>41688</v>
      </c>
      <c r="M3" s="247">
        <v>41696</v>
      </c>
      <c r="N3" s="247">
        <v>41711</v>
      </c>
      <c r="O3" s="247">
        <v>41712</v>
      </c>
      <c r="P3" s="247">
        <v>41718</v>
      </c>
      <c r="Q3" s="247">
        <v>41724</v>
      </c>
      <c r="R3" s="247">
        <v>41729</v>
      </c>
      <c r="S3" s="247">
        <v>41730</v>
      </c>
      <c r="T3" s="247">
        <v>41736</v>
      </c>
      <c r="U3" s="247">
        <v>41737</v>
      </c>
      <c r="V3" s="247">
        <v>41743</v>
      </c>
      <c r="W3" s="247">
        <v>41757</v>
      </c>
      <c r="X3" s="247">
        <v>41758</v>
      </c>
      <c r="Y3" s="247">
        <v>41764</v>
      </c>
      <c r="Z3" s="247">
        <v>41765</v>
      </c>
      <c r="AA3" s="247">
        <v>41767</v>
      </c>
      <c r="AB3" s="247">
        <v>41771</v>
      </c>
      <c r="AC3" s="247">
        <v>41773</v>
      </c>
      <c r="AD3" s="247">
        <v>41778</v>
      </c>
      <c r="AE3" s="247">
        <v>41785</v>
      </c>
      <c r="AF3" s="247">
        <v>41788</v>
      </c>
      <c r="AG3" s="247">
        <v>41792</v>
      </c>
      <c r="AH3" s="247">
        <v>41799</v>
      </c>
      <c r="AI3" s="247">
        <v>41806</v>
      </c>
      <c r="AJ3" s="247">
        <v>41807</v>
      </c>
      <c r="AK3" s="247">
        <v>41808</v>
      </c>
      <c r="AL3" s="247">
        <v>41813</v>
      </c>
      <c r="AM3" s="247">
        <v>41820</v>
      </c>
      <c r="AN3" s="247">
        <v>41827</v>
      </c>
      <c r="AO3" s="247">
        <v>41828</v>
      </c>
      <c r="AP3" s="247">
        <v>41834</v>
      </c>
      <c r="AQ3" s="247">
        <v>41836</v>
      </c>
      <c r="AR3" s="247">
        <v>41841</v>
      </c>
      <c r="AS3" s="247">
        <v>41848</v>
      </c>
      <c r="AT3" s="247">
        <v>41855</v>
      </c>
      <c r="AU3" s="247">
        <v>41862</v>
      </c>
      <c r="AV3" s="247">
        <v>41864</v>
      </c>
      <c r="AW3" s="247">
        <v>41869</v>
      </c>
      <c r="AX3" s="247">
        <v>41876</v>
      </c>
      <c r="AY3" s="247">
        <v>41883</v>
      </c>
      <c r="AZ3" s="247">
        <v>41890</v>
      </c>
      <c r="BA3" s="247">
        <v>41897</v>
      </c>
      <c r="BB3" s="247">
        <v>41904</v>
      </c>
      <c r="BC3" s="247">
        <v>41911</v>
      </c>
      <c r="BD3" s="247">
        <v>41918</v>
      </c>
      <c r="BE3" s="247">
        <v>41925</v>
      </c>
      <c r="BF3" s="247">
        <v>41932</v>
      </c>
      <c r="BG3" s="247">
        <v>41939</v>
      </c>
      <c r="BH3" s="247">
        <v>41948</v>
      </c>
      <c r="BI3" s="247">
        <v>41953</v>
      </c>
      <c r="BJ3" s="247">
        <v>41960</v>
      </c>
      <c r="BK3" s="247">
        <v>41967</v>
      </c>
      <c r="BL3" s="247">
        <v>41974</v>
      </c>
      <c r="BM3" s="247">
        <v>41981</v>
      </c>
      <c r="BN3" s="247">
        <v>41988</v>
      </c>
      <c r="BO3" s="247">
        <v>41997</v>
      </c>
      <c r="BP3" s="247">
        <v>42009</v>
      </c>
      <c r="BQ3" s="247">
        <v>42016</v>
      </c>
      <c r="BR3" s="247">
        <v>42023</v>
      </c>
      <c r="BS3" s="247">
        <v>42031</v>
      </c>
      <c r="BT3" s="247">
        <v>42037</v>
      </c>
      <c r="BU3" s="247">
        <v>42044</v>
      </c>
      <c r="BV3" s="247">
        <v>42051</v>
      </c>
      <c r="BW3" s="247">
        <v>42058</v>
      </c>
      <c r="BX3" s="247">
        <v>42065</v>
      </c>
      <c r="BY3" s="247">
        <v>42073</v>
      </c>
      <c r="BZ3" s="247">
        <v>42079</v>
      </c>
      <c r="CA3" s="247">
        <v>42086</v>
      </c>
      <c r="CB3" s="247">
        <v>42088</v>
      </c>
      <c r="CC3" s="247">
        <v>42095</v>
      </c>
      <c r="CD3" s="247">
        <v>42101</v>
      </c>
      <c r="CE3" s="247">
        <v>42107</v>
      </c>
      <c r="CF3" s="247" t="s">
        <v>37</v>
      </c>
      <c r="CG3" s="248" t="s">
        <v>204</v>
      </c>
      <c r="CH3" s="249"/>
    </row>
    <row r="4" spans="1:86" x14ac:dyDescent="0.3">
      <c r="A4" s="250" t="s">
        <v>205</v>
      </c>
      <c r="B4" s="251">
        <v>21</v>
      </c>
      <c r="C4" s="251">
        <v>44</v>
      </c>
      <c r="D4" s="251"/>
      <c r="E4" s="251">
        <v>18</v>
      </c>
      <c r="F4" s="251"/>
      <c r="G4" s="251">
        <v>14</v>
      </c>
      <c r="H4" s="251">
        <v>62</v>
      </c>
      <c r="I4" s="251">
        <v>2</v>
      </c>
      <c r="J4" s="251">
        <v>79</v>
      </c>
      <c r="K4" s="251">
        <v>4</v>
      </c>
      <c r="L4" s="251">
        <v>26</v>
      </c>
      <c r="M4" s="251">
        <v>44</v>
      </c>
      <c r="N4" s="251">
        <v>22</v>
      </c>
      <c r="O4" s="251">
        <v>6</v>
      </c>
      <c r="P4" s="251">
        <v>32</v>
      </c>
      <c r="Q4" s="251">
        <v>32</v>
      </c>
      <c r="R4" s="251">
        <v>1</v>
      </c>
      <c r="S4" s="251">
        <v>36</v>
      </c>
      <c r="T4" s="251">
        <v>40</v>
      </c>
      <c r="U4" s="251">
        <v>4</v>
      </c>
      <c r="V4" s="251">
        <v>11</v>
      </c>
      <c r="W4" s="251">
        <v>41</v>
      </c>
      <c r="X4" s="251"/>
      <c r="Y4" s="251">
        <v>6</v>
      </c>
      <c r="Z4" s="251"/>
      <c r="AA4" s="251">
        <v>1</v>
      </c>
      <c r="AB4" s="251">
        <v>13</v>
      </c>
      <c r="AC4" s="251">
        <v>1</v>
      </c>
      <c r="AD4" s="251">
        <v>30</v>
      </c>
      <c r="AE4" s="251">
        <v>12</v>
      </c>
      <c r="AF4" s="251">
        <v>1</v>
      </c>
      <c r="AG4" s="251">
        <v>18</v>
      </c>
      <c r="AH4" s="251">
        <v>41</v>
      </c>
      <c r="AI4" s="251">
        <v>7</v>
      </c>
      <c r="AJ4" s="251"/>
      <c r="AK4" s="251">
        <v>1</v>
      </c>
      <c r="AL4" s="251">
        <v>20</v>
      </c>
      <c r="AM4" s="251">
        <v>9</v>
      </c>
      <c r="AN4" s="251">
        <v>8</v>
      </c>
      <c r="AO4" s="251"/>
      <c r="AP4" s="251">
        <v>8</v>
      </c>
      <c r="AQ4" s="251">
        <v>2</v>
      </c>
      <c r="AR4" s="251">
        <v>19</v>
      </c>
      <c r="AS4" s="251">
        <v>16</v>
      </c>
      <c r="AT4" s="251">
        <v>15</v>
      </c>
      <c r="AU4" s="251">
        <v>49</v>
      </c>
      <c r="AV4" s="251">
        <v>5</v>
      </c>
      <c r="AW4" s="251">
        <v>71</v>
      </c>
      <c r="AX4" s="251">
        <v>13</v>
      </c>
      <c r="AY4" s="251">
        <v>29</v>
      </c>
      <c r="AZ4" s="251">
        <v>17</v>
      </c>
      <c r="BA4" s="251">
        <v>28</v>
      </c>
      <c r="BB4" s="251">
        <v>32</v>
      </c>
      <c r="BC4" s="251">
        <v>13</v>
      </c>
      <c r="BD4" s="251">
        <v>32</v>
      </c>
      <c r="BE4" s="251">
        <v>32</v>
      </c>
      <c r="BF4" s="251">
        <v>31</v>
      </c>
      <c r="BG4" s="251">
        <v>27</v>
      </c>
      <c r="BH4" s="251">
        <v>70</v>
      </c>
      <c r="BI4" s="251">
        <v>23</v>
      </c>
      <c r="BJ4" s="251">
        <v>13</v>
      </c>
      <c r="BK4" s="251">
        <v>32</v>
      </c>
      <c r="BL4" s="251">
        <v>52</v>
      </c>
      <c r="BM4" s="251">
        <v>50</v>
      </c>
      <c r="BN4" s="251">
        <v>26</v>
      </c>
      <c r="BO4" s="251">
        <v>41</v>
      </c>
      <c r="BP4" s="251">
        <v>250</v>
      </c>
      <c r="BQ4" s="251">
        <v>15</v>
      </c>
      <c r="BR4" s="251">
        <v>96</v>
      </c>
      <c r="BS4" s="251">
        <v>9</v>
      </c>
      <c r="BT4" s="251">
        <v>57</v>
      </c>
      <c r="BU4" s="251">
        <v>22</v>
      </c>
      <c r="BV4" s="251">
        <v>15</v>
      </c>
      <c r="BW4" s="251">
        <v>59</v>
      </c>
      <c r="BX4" s="251">
        <v>26</v>
      </c>
      <c r="BY4" s="251">
        <v>72</v>
      </c>
      <c r="BZ4" s="251">
        <v>36</v>
      </c>
      <c r="CA4" s="251">
        <v>35</v>
      </c>
      <c r="CB4" s="251">
        <v>24</v>
      </c>
      <c r="CC4" s="251">
        <v>38</v>
      </c>
      <c r="CD4" s="251">
        <v>42</v>
      </c>
      <c r="CE4" s="251">
        <v>33</v>
      </c>
      <c r="CF4" s="252">
        <v>2282</v>
      </c>
      <c r="CG4" s="253">
        <f>CF4/CF13</f>
        <v>6.4158794421952312E-2</v>
      </c>
      <c r="CH4" s="254" t="s">
        <v>205</v>
      </c>
    </row>
    <row r="5" spans="1:86" x14ac:dyDescent="0.3">
      <c r="A5" s="250" t="s">
        <v>206</v>
      </c>
      <c r="B5" s="251">
        <v>17</v>
      </c>
      <c r="C5" s="251">
        <v>25</v>
      </c>
      <c r="D5" s="251"/>
      <c r="E5" s="251">
        <v>21</v>
      </c>
      <c r="F5" s="251"/>
      <c r="G5" s="251">
        <v>16</v>
      </c>
      <c r="H5" s="251">
        <v>44</v>
      </c>
      <c r="I5" s="251">
        <v>1</v>
      </c>
      <c r="J5" s="251">
        <v>31</v>
      </c>
      <c r="K5" s="251">
        <v>6</v>
      </c>
      <c r="L5" s="251">
        <v>18</v>
      </c>
      <c r="M5" s="251">
        <v>34</v>
      </c>
      <c r="N5" s="251">
        <v>17</v>
      </c>
      <c r="O5" s="251"/>
      <c r="P5" s="251">
        <v>6</v>
      </c>
      <c r="Q5" s="251">
        <v>9</v>
      </c>
      <c r="R5" s="251"/>
      <c r="S5" s="251">
        <v>16</v>
      </c>
      <c r="T5" s="251">
        <v>19</v>
      </c>
      <c r="U5" s="251"/>
      <c r="V5" s="251">
        <v>9</v>
      </c>
      <c r="W5" s="251">
        <v>25</v>
      </c>
      <c r="X5" s="251"/>
      <c r="Y5" s="251">
        <v>9</v>
      </c>
      <c r="Z5" s="251">
        <v>1</v>
      </c>
      <c r="AA5" s="251"/>
      <c r="AB5" s="251">
        <v>2</v>
      </c>
      <c r="AC5" s="251"/>
      <c r="AD5" s="251">
        <v>9</v>
      </c>
      <c r="AE5" s="251">
        <v>4</v>
      </c>
      <c r="AF5" s="251"/>
      <c r="AG5" s="251">
        <v>6</v>
      </c>
      <c r="AH5" s="251">
        <v>31</v>
      </c>
      <c r="AI5" s="251">
        <v>4</v>
      </c>
      <c r="AJ5" s="251"/>
      <c r="AK5" s="251"/>
      <c r="AL5" s="251">
        <v>14</v>
      </c>
      <c r="AM5" s="251">
        <v>4</v>
      </c>
      <c r="AN5" s="251">
        <v>5</v>
      </c>
      <c r="AO5" s="251"/>
      <c r="AP5" s="251">
        <v>35</v>
      </c>
      <c r="AQ5" s="251"/>
      <c r="AR5" s="251">
        <v>2</v>
      </c>
      <c r="AS5" s="251"/>
      <c r="AT5" s="251">
        <v>13</v>
      </c>
      <c r="AU5" s="251">
        <v>20</v>
      </c>
      <c r="AV5" s="251">
        <v>2</v>
      </c>
      <c r="AW5" s="251">
        <v>11</v>
      </c>
      <c r="AX5" s="251">
        <v>16</v>
      </c>
      <c r="AY5" s="251">
        <v>31</v>
      </c>
      <c r="AZ5" s="251">
        <v>6</v>
      </c>
      <c r="BA5" s="251">
        <v>9</v>
      </c>
      <c r="BB5" s="251">
        <v>13</v>
      </c>
      <c r="BC5" s="251">
        <v>9</v>
      </c>
      <c r="BD5" s="251">
        <v>15</v>
      </c>
      <c r="BE5" s="251">
        <v>29</v>
      </c>
      <c r="BF5" s="251">
        <v>23</v>
      </c>
      <c r="BG5" s="251">
        <v>10</v>
      </c>
      <c r="BH5" s="251">
        <v>23</v>
      </c>
      <c r="BI5" s="251">
        <v>11</v>
      </c>
      <c r="BJ5" s="251">
        <v>23</v>
      </c>
      <c r="BK5" s="251">
        <v>11</v>
      </c>
      <c r="BL5" s="251">
        <v>29</v>
      </c>
      <c r="BM5" s="251">
        <v>23</v>
      </c>
      <c r="BN5" s="251">
        <v>13</v>
      </c>
      <c r="BO5" s="251">
        <v>22</v>
      </c>
      <c r="BP5" s="251">
        <v>134</v>
      </c>
      <c r="BQ5" s="251">
        <v>17</v>
      </c>
      <c r="BR5" s="251">
        <v>64</v>
      </c>
      <c r="BS5" s="251">
        <v>30</v>
      </c>
      <c r="BT5" s="251">
        <v>12</v>
      </c>
      <c r="BU5" s="251">
        <v>4</v>
      </c>
      <c r="BV5" s="251">
        <v>18</v>
      </c>
      <c r="BW5" s="251">
        <v>20</v>
      </c>
      <c r="BX5" s="251">
        <v>16</v>
      </c>
      <c r="BY5" s="251">
        <v>26</v>
      </c>
      <c r="BZ5" s="251">
        <v>23</v>
      </c>
      <c r="CA5" s="251">
        <v>26</v>
      </c>
      <c r="CB5" s="251">
        <v>1</v>
      </c>
      <c r="CC5" s="251">
        <v>16</v>
      </c>
      <c r="CD5" s="251">
        <v>30</v>
      </c>
      <c r="CE5" s="251">
        <v>7</v>
      </c>
      <c r="CF5" s="252">
        <v>1246</v>
      </c>
      <c r="CG5" s="253">
        <f>CF5/CF13</f>
        <v>3.5031488978857397E-2</v>
      </c>
      <c r="CH5" s="254" t="s">
        <v>206</v>
      </c>
    </row>
    <row r="6" spans="1:86" x14ac:dyDescent="0.3">
      <c r="A6" s="250" t="s">
        <v>207</v>
      </c>
      <c r="B6" s="251">
        <v>151</v>
      </c>
      <c r="C6" s="251"/>
      <c r="D6" s="251">
        <v>147</v>
      </c>
      <c r="E6" s="251">
        <v>72</v>
      </c>
      <c r="F6" s="251"/>
      <c r="G6" s="251">
        <v>61</v>
      </c>
      <c r="H6" s="251">
        <v>215</v>
      </c>
      <c r="I6" s="251">
        <v>17</v>
      </c>
      <c r="J6" s="251">
        <v>229</v>
      </c>
      <c r="K6" s="251">
        <v>90</v>
      </c>
      <c r="L6" s="251">
        <v>146</v>
      </c>
      <c r="M6" s="251">
        <v>150</v>
      </c>
      <c r="N6" s="251">
        <v>49</v>
      </c>
      <c r="O6" s="251">
        <v>22</v>
      </c>
      <c r="P6" s="251">
        <v>105</v>
      </c>
      <c r="Q6" s="251">
        <v>231</v>
      </c>
      <c r="R6" s="251">
        <v>23</v>
      </c>
      <c r="S6" s="251">
        <v>80</v>
      </c>
      <c r="T6" s="251">
        <v>78</v>
      </c>
      <c r="U6" s="251">
        <v>16</v>
      </c>
      <c r="V6" s="251">
        <v>46</v>
      </c>
      <c r="W6" s="251">
        <v>118</v>
      </c>
      <c r="X6" s="251">
        <v>11</v>
      </c>
      <c r="Y6" s="251">
        <v>32</v>
      </c>
      <c r="Z6" s="251">
        <v>14</v>
      </c>
      <c r="AA6" s="251">
        <v>15</v>
      </c>
      <c r="AB6" s="251">
        <v>23</v>
      </c>
      <c r="AC6" s="251">
        <v>7</v>
      </c>
      <c r="AD6" s="251">
        <v>73</v>
      </c>
      <c r="AE6" s="251">
        <v>39</v>
      </c>
      <c r="AF6" s="251">
        <v>6</v>
      </c>
      <c r="AG6" s="251">
        <v>61</v>
      </c>
      <c r="AH6" s="251">
        <v>155</v>
      </c>
      <c r="AI6" s="251">
        <v>33</v>
      </c>
      <c r="AJ6" s="251">
        <v>5</v>
      </c>
      <c r="AK6" s="251">
        <v>20</v>
      </c>
      <c r="AL6" s="251">
        <v>53</v>
      </c>
      <c r="AM6" s="251">
        <v>25</v>
      </c>
      <c r="AN6" s="251">
        <v>32</v>
      </c>
      <c r="AO6" s="251">
        <v>9</v>
      </c>
      <c r="AP6" s="251">
        <v>36</v>
      </c>
      <c r="AQ6" s="251">
        <v>8</v>
      </c>
      <c r="AR6" s="251">
        <v>42</v>
      </c>
      <c r="AS6" s="251">
        <v>28</v>
      </c>
      <c r="AT6" s="251">
        <v>44</v>
      </c>
      <c r="AU6" s="251">
        <v>107</v>
      </c>
      <c r="AV6" s="251">
        <v>23</v>
      </c>
      <c r="AW6" s="251">
        <v>248</v>
      </c>
      <c r="AX6" s="251">
        <v>27</v>
      </c>
      <c r="AY6" s="251">
        <v>107</v>
      </c>
      <c r="AZ6" s="251">
        <v>55</v>
      </c>
      <c r="BA6" s="251">
        <v>148</v>
      </c>
      <c r="BB6" s="251">
        <v>62</v>
      </c>
      <c r="BC6" s="251">
        <v>69</v>
      </c>
      <c r="BD6" s="251">
        <v>51</v>
      </c>
      <c r="BE6" s="251">
        <v>68</v>
      </c>
      <c r="BF6" s="251">
        <v>72</v>
      </c>
      <c r="BG6" s="251">
        <v>72</v>
      </c>
      <c r="BH6" s="251">
        <v>106</v>
      </c>
      <c r="BI6" s="251">
        <v>94</v>
      </c>
      <c r="BJ6" s="251">
        <v>60</v>
      </c>
      <c r="BK6" s="251">
        <v>86</v>
      </c>
      <c r="BL6" s="251">
        <v>46</v>
      </c>
      <c r="BM6" s="251">
        <v>151</v>
      </c>
      <c r="BN6" s="251">
        <v>58</v>
      </c>
      <c r="BO6" s="251">
        <v>127</v>
      </c>
      <c r="BP6" s="251">
        <v>587</v>
      </c>
      <c r="BQ6" s="251">
        <v>40</v>
      </c>
      <c r="BR6" s="251">
        <v>169</v>
      </c>
      <c r="BS6" s="251">
        <v>64</v>
      </c>
      <c r="BT6" s="251">
        <v>92</v>
      </c>
      <c r="BU6" s="251">
        <v>52</v>
      </c>
      <c r="BV6" s="251">
        <v>38</v>
      </c>
      <c r="BW6" s="251">
        <v>127</v>
      </c>
      <c r="BX6" s="251">
        <v>90</v>
      </c>
      <c r="BY6" s="251">
        <v>64</v>
      </c>
      <c r="BZ6" s="251">
        <v>85</v>
      </c>
      <c r="CA6" s="251">
        <v>161</v>
      </c>
      <c r="CB6" s="251">
        <v>20</v>
      </c>
      <c r="CC6" s="251">
        <v>77</v>
      </c>
      <c r="CD6" s="251">
        <v>41</v>
      </c>
      <c r="CE6" s="251">
        <v>62</v>
      </c>
      <c r="CF6" s="252">
        <v>6423</v>
      </c>
      <c r="CG6" s="253">
        <f>CF6/CF13</f>
        <v>0.18058367071524967</v>
      </c>
      <c r="CH6" s="254" t="s">
        <v>207</v>
      </c>
    </row>
    <row r="7" spans="1:86" x14ac:dyDescent="0.3">
      <c r="A7" s="250" t="s">
        <v>208</v>
      </c>
      <c r="B7" s="251">
        <v>278</v>
      </c>
      <c r="C7" s="251"/>
      <c r="D7" s="251">
        <v>384</v>
      </c>
      <c r="E7" s="251">
        <v>119</v>
      </c>
      <c r="F7" s="251"/>
      <c r="G7" s="251">
        <v>119</v>
      </c>
      <c r="H7" s="251">
        <v>364</v>
      </c>
      <c r="I7" s="251">
        <v>116</v>
      </c>
      <c r="J7" s="251">
        <v>332</v>
      </c>
      <c r="K7" s="251">
        <v>26</v>
      </c>
      <c r="L7" s="251">
        <v>184</v>
      </c>
      <c r="M7" s="251">
        <v>369</v>
      </c>
      <c r="N7" s="251">
        <v>140</v>
      </c>
      <c r="O7" s="251">
        <v>17</v>
      </c>
      <c r="P7" s="251">
        <v>125</v>
      </c>
      <c r="Q7" s="251">
        <v>103</v>
      </c>
      <c r="R7" s="251">
        <v>8</v>
      </c>
      <c r="S7" s="251">
        <v>100</v>
      </c>
      <c r="T7" s="251">
        <v>103</v>
      </c>
      <c r="U7" s="251">
        <v>4</v>
      </c>
      <c r="V7" s="251">
        <v>94</v>
      </c>
      <c r="W7" s="251">
        <v>272</v>
      </c>
      <c r="X7" s="251">
        <v>15</v>
      </c>
      <c r="Y7" s="251">
        <v>72</v>
      </c>
      <c r="Z7" s="251">
        <v>11</v>
      </c>
      <c r="AA7" s="251">
        <v>8</v>
      </c>
      <c r="AB7" s="251">
        <v>45</v>
      </c>
      <c r="AC7" s="251"/>
      <c r="AD7" s="251">
        <v>139</v>
      </c>
      <c r="AE7" s="251">
        <v>72</v>
      </c>
      <c r="AF7" s="251">
        <v>9</v>
      </c>
      <c r="AG7" s="251">
        <v>102</v>
      </c>
      <c r="AH7" s="251">
        <v>217</v>
      </c>
      <c r="AI7" s="251">
        <v>48</v>
      </c>
      <c r="AJ7" s="251">
        <v>1</v>
      </c>
      <c r="AK7" s="251">
        <v>14</v>
      </c>
      <c r="AL7" s="251">
        <v>121</v>
      </c>
      <c r="AM7" s="251">
        <v>72</v>
      </c>
      <c r="AN7" s="251">
        <v>97</v>
      </c>
      <c r="AO7" s="251">
        <v>1</v>
      </c>
      <c r="AP7" s="251">
        <v>70</v>
      </c>
      <c r="AQ7" s="251">
        <v>15</v>
      </c>
      <c r="AR7" s="251">
        <v>89</v>
      </c>
      <c r="AS7" s="251">
        <v>57</v>
      </c>
      <c r="AT7" s="251">
        <v>92</v>
      </c>
      <c r="AU7" s="251">
        <v>251</v>
      </c>
      <c r="AV7" s="251">
        <v>23</v>
      </c>
      <c r="AW7" s="251">
        <v>206</v>
      </c>
      <c r="AX7" s="251">
        <v>49</v>
      </c>
      <c r="AY7" s="251">
        <v>201</v>
      </c>
      <c r="AZ7" s="251">
        <v>113</v>
      </c>
      <c r="BA7" s="251">
        <v>171</v>
      </c>
      <c r="BB7" s="251">
        <v>180</v>
      </c>
      <c r="BC7" s="251">
        <v>236</v>
      </c>
      <c r="BD7" s="251">
        <v>82</v>
      </c>
      <c r="BE7" s="251">
        <v>231</v>
      </c>
      <c r="BF7" s="251">
        <v>163</v>
      </c>
      <c r="BG7" s="251">
        <v>117</v>
      </c>
      <c r="BH7" s="251">
        <v>274</v>
      </c>
      <c r="BI7" s="251">
        <v>229</v>
      </c>
      <c r="BJ7" s="251">
        <v>157</v>
      </c>
      <c r="BK7" s="251">
        <v>162</v>
      </c>
      <c r="BL7" s="251">
        <v>102</v>
      </c>
      <c r="BM7" s="251">
        <v>200</v>
      </c>
      <c r="BN7" s="251">
        <v>161</v>
      </c>
      <c r="BO7" s="251">
        <v>219</v>
      </c>
      <c r="BP7" s="251">
        <v>690</v>
      </c>
      <c r="BQ7" s="251">
        <v>117</v>
      </c>
      <c r="BR7" s="251">
        <v>498</v>
      </c>
      <c r="BS7" s="251">
        <v>301</v>
      </c>
      <c r="BT7" s="251">
        <v>203</v>
      </c>
      <c r="BU7" s="251">
        <v>94</v>
      </c>
      <c r="BV7" s="251">
        <v>116</v>
      </c>
      <c r="BW7" s="251">
        <v>269</v>
      </c>
      <c r="BX7" s="251">
        <v>146</v>
      </c>
      <c r="BY7" s="251">
        <v>228</v>
      </c>
      <c r="BZ7" s="251">
        <v>324</v>
      </c>
      <c r="CA7" s="251">
        <v>237</v>
      </c>
      <c r="CB7" s="251">
        <v>63</v>
      </c>
      <c r="CC7" s="251">
        <v>158</v>
      </c>
      <c r="CD7" s="251">
        <v>98</v>
      </c>
      <c r="CE7" s="251">
        <v>91</v>
      </c>
      <c r="CF7" s="252">
        <v>11784</v>
      </c>
      <c r="CG7" s="253">
        <f>CF7/CF13</f>
        <v>0.33130904183535764</v>
      </c>
      <c r="CH7" s="254" t="s">
        <v>208</v>
      </c>
    </row>
    <row r="8" spans="1:86" x14ac:dyDescent="0.3">
      <c r="A8" s="250" t="s">
        <v>209</v>
      </c>
      <c r="B8" s="251">
        <v>6</v>
      </c>
      <c r="C8" s="251">
        <v>24</v>
      </c>
      <c r="D8" s="251"/>
      <c r="E8" s="251">
        <v>10</v>
      </c>
      <c r="F8" s="251"/>
      <c r="G8" s="251">
        <v>2</v>
      </c>
      <c r="H8" s="251">
        <v>31</v>
      </c>
      <c r="I8" s="251">
        <v>1</v>
      </c>
      <c r="J8" s="251">
        <v>23</v>
      </c>
      <c r="K8" s="251">
        <v>4</v>
      </c>
      <c r="L8" s="251">
        <v>14</v>
      </c>
      <c r="M8" s="251">
        <v>27</v>
      </c>
      <c r="N8" s="251">
        <v>10</v>
      </c>
      <c r="O8" s="251">
        <v>5</v>
      </c>
      <c r="P8" s="251">
        <v>9</v>
      </c>
      <c r="Q8" s="251">
        <v>6</v>
      </c>
      <c r="R8" s="251"/>
      <c r="S8" s="251">
        <v>14</v>
      </c>
      <c r="T8" s="251">
        <v>14</v>
      </c>
      <c r="U8" s="251"/>
      <c r="V8" s="251">
        <v>7</v>
      </c>
      <c r="W8" s="251">
        <v>36</v>
      </c>
      <c r="X8" s="251"/>
      <c r="Y8" s="251">
        <v>15</v>
      </c>
      <c r="Z8" s="251"/>
      <c r="AA8" s="251">
        <v>1</v>
      </c>
      <c r="AB8" s="251">
        <v>3</v>
      </c>
      <c r="AC8" s="251"/>
      <c r="AD8" s="251">
        <v>22</v>
      </c>
      <c r="AE8" s="251">
        <v>9</v>
      </c>
      <c r="AF8" s="251"/>
      <c r="AG8" s="251">
        <v>23</v>
      </c>
      <c r="AH8" s="251">
        <v>16</v>
      </c>
      <c r="AI8" s="251">
        <v>7</v>
      </c>
      <c r="AJ8" s="251"/>
      <c r="AK8" s="251">
        <v>3</v>
      </c>
      <c r="AL8" s="251">
        <v>14</v>
      </c>
      <c r="AM8" s="251">
        <v>30</v>
      </c>
      <c r="AN8" s="251">
        <v>14</v>
      </c>
      <c r="AO8" s="251"/>
      <c r="AP8" s="251">
        <v>10</v>
      </c>
      <c r="AQ8" s="251">
        <v>1</v>
      </c>
      <c r="AR8" s="251">
        <v>10</v>
      </c>
      <c r="AS8" s="251">
        <v>7</v>
      </c>
      <c r="AT8" s="251">
        <v>15</v>
      </c>
      <c r="AU8" s="251">
        <v>43</v>
      </c>
      <c r="AV8" s="251">
        <v>2</v>
      </c>
      <c r="AW8" s="251">
        <v>53</v>
      </c>
      <c r="AX8" s="251">
        <v>12</v>
      </c>
      <c r="AY8" s="251">
        <v>29</v>
      </c>
      <c r="AZ8" s="251">
        <v>29</v>
      </c>
      <c r="BA8" s="251">
        <v>20</v>
      </c>
      <c r="BB8" s="251">
        <v>27</v>
      </c>
      <c r="BC8" s="251">
        <v>22</v>
      </c>
      <c r="BD8" s="251">
        <v>8</v>
      </c>
      <c r="BE8" s="251">
        <v>40</v>
      </c>
      <c r="BF8" s="251">
        <v>37</v>
      </c>
      <c r="BG8" s="251">
        <v>36</v>
      </c>
      <c r="BH8" s="251">
        <v>40</v>
      </c>
      <c r="BI8" s="251">
        <v>25</v>
      </c>
      <c r="BJ8" s="251">
        <v>10</v>
      </c>
      <c r="BK8" s="251">
        <v>48</v>
      </c>
      <c r="BL8" s="251">
        <v>24</v>
      </c>
      <c r="BM8" s="251">
        <v>22</v>
      </c>
      <c r="BN8" s="251">
        <v>26</v>
      </c>
      <c r="BO8" s="251">
        <v>42</v>
      </c>
      <c r="BP8" s="251">
        <v>131</v>
      </c>
      <c r="BQ8" s="251">
        <v>17</v>
      </c>
      <c r="BR8" s="251">
        <v>133</v>
      </c>
      <c r="BS8" s="251">
        <v>17</v>
      </c>
      <c r="BT8" s="251">
        <v>47</v>
      </c>
      <c r="BU8" s="251">
        <v>21</v>
      </c>
      <c r="BV8" s="251">
        <v>25</v>
      </c>
      <c r="BW8" s="251">
        <v>57</v>
      </c>
      <c r="BX8" s="251">
        <v>48</v>
      </c>
      <c r="BY8" s="251">
        <v>41</v>
      </c>
      <c r="BZ8" s="251">
        <v>35</v>
      </c>
      <c r="CA8" s="251">
        <v>30</v>
      </c>
      <c r="CB8" s="251">
        <v>7</v>
      </c>
      <c r="CC8" s="251">
        <v>35</v>
      </c>
      <c r="CD8" s="251">
        <v>57</v>
      </c>
      <c r="CE8" s="251">
        <v>29</v>
      </c>
      <c r="CF8" s="252">
        <v>1768</v>
      </c>
      <c r="CG8" s="253">
        <f>CF8/CF13</f>
        <v>4.9707602339181284E-2</v>
      </c>
      <c r="CH8" s="254" t="s">
        <v>209</v>
      </c>
    </row>
    <row r="9" spans="1:86" x14ac:dyDescent="0.3">
      <c r="A9" s="250" t="s">
        <v>210</v>
      </c>
      <c r="B9" s="251">
        <v>2</v>
      </c>
      <c r="C9" s="251"/>
      <c r="D9" s="251"/>
      <c r="E9" s="251">
        <v>1</v>
      </c>
      <c r="F9" s="251"/>
      <c r="G9" s="251">
        <v>5</v>
      </c>
      <c r="H9" s="251">
        <v>9</v>
      </c>
      <c r="I9" s="251"/>
      <c r="J9" s="251">
        <v>3</v>
      </c>
      <c r="K9" s="251"/>
      <c r="L9" s="251">
        <v>5</v>
      </c>
      <c r="M9" s="251">
        <v>10</v>
      </c>
      <c r="N9" s="251">
        <v>1</v>
      </c>
      <c r="O9" s="251"/>
      <c r="P9" s="251">
        <v>3</v>
      </c>
      <c r="Q9" s="251">
        <v>2</v>
      </c>
      <c r="R9" s="251"/>
      <c r="S9" s="251">
        <v>2</v>
      </c>
      <c r="T9" s="251">
        <v>3</v>
      </c>
      <c r="U9" s="251"/>
      <c r="V9" s="251">
        <v>6</v>
      </c>
      <c r="W9" s="251">
        <v>8</v>
      </c>
      <c r="X9" s="251"/>
      <c r="Y9" s="251">
        <v>1</v>
      </c>
      <c r="Z9" s="251"/>
      <c r="AA9" s="251"/>
      <c r="AB9" s="251">
        <v>1</v>
      </c>
      <c r="AC9" s="251"/>
      <c r="AD9" s="251">
        <v>10</v>
      </c>
      <c r="AE9" s="251">
        <v>3</v>
      </c>
      <c r="AF9" s="251"/>
      <c r="AG9" s="251">
        <v>3</v>
      </c>
      <c r="AH9" s="251">
        <v>11</v>
      </c>
      <c r="AI9" s="251"/>
      <c r="AJ9" s="251"/>
      <c r="AK9" s="251"/>
      <c r="AL9" s="251">
        <v>1</v>
      </c>
      <c r="AM9" s="251">
        <v>3</v>
      </c>
      <c r="AN9" s="251">
        <v>4</v>
      </c>
      <c r="AO9" s="251"/>
      <c r="AP9" s="251">
        <v>3</v>
      </c>
      <c r="AQ9" s="251"/>
      <c r="AR9" s="251">
        <v>1</v>
      </c>
      <c r="AS9" s="251">
        <v>1</v>
      </c>
      <c r="AT9" s="251">
        <v>1</v>
      </c>
      <c r="AU9" s="251">
        <v>8</v>
      </c>
      <c r="AV9" s="251"/>
      <c r="AW9" s="251">
        <v>1</v>
      </c>
      <c r="AX9" s="251">
        <v>3</v>
      </c>
      <c r="AY9" s="251">
        <v>5</v>
      </c>
      <c r="AZ9" s="251">
        <v>7</v>
      </c>
      <c r="BA9" s="251">
        <v>9</v>
      </c>
      <c r="BB9" s="251">
        <v>4</v>
      </c>
      <c r="BC9" s="251">
        <v>3</v>
      </c>
      <c r="BD9" s="251">
        <v>5</v>
      </c>
      <c r="BE9" s="251">
        <v>2</v>
      </c>
      <c r="BF9" s="251">
        <v>13</v>
      </c>
      <c r="BG9" s="251">
        <v>2</v>
      </c>
      <c r="BH9" s="251">
        <v>9</v>
      </c>
      <c r="BI9" s="251">
        <v>6</v>
      </c>
      <c r="BJ9" s="251"/>
      <c r="BK9" s="251">
        <v>3</v>
      </c>
      <c r="BL9" s="251">
        <v>3</v>
      </c>
      <c r="BM9" s="251">
        <v>8</v>
      </c>
      <c r="BN9" s="251">
        <v>27</v>
      </c>
      <c r="BO9" s="251">
        <v>10</v>
      </c>
      <c r="BP9" s="251">
        <v>15</v>
      </c>
      <c r="BQ9" s="251">
        <v>3</v>
      </c>
      <c r="BR9" s="251">
        <v>21</v>
      </c>
      <c r="BS9" s="251">
        <v>12</v>
      </c>
      <c r="BT9" s="251">
        <v>4</v>
      </c>
      <c r="BU9" s="251">
        <v>6</v>
      </c>
      <c r="BV9" s="251">
        <v>2</v>
      </c>
      <c r="BW9" s="251">
        <v>21</v>
      </c>
      <c r="BX9" s="251">
        <v>10</v>
      </c>
      <c r="BY9" s="251">
        <v>7</v>
      </c>
      <c r="BZ9" s="251">
        <v>2</v>
      </c>
      <c r="CA9" s="251">
        <v>5</v>
      </c>
      <c r="CB9" s="251">
        <v>1</v>
      </c>
      <c r="CC9" s="251">
        <v>9</v>
      </c>
      <c r="CD9" s="251">
        <v>3</v>
      </c>
      <c r="CE9" s="251">
        <v>3</v>
      </c>
      <c r="CF9" s="252">
        <v>355</v>
      </c>
      <c r="CG9" s="253">
        <f>CF9/CF13</f>
        <v>9.9808816914080077E-3</v>
      </c>
      <c r="CH9" s="254" t="s">
        <v>210</v>
      </c>
    </row>
    <row r="10" spans="1:86" x14ac:dyDescent="0.3">
      <c r="A10" s="250" t="s">
        <v>211</v>
      </c>
      <c r="B10" s="251">
        <v>378</v>
      </c>
      <c r="C10" s="251"/>
      <c r="D10" s="251">
        <v>182</v>
      </c>
      <c r="E10" s="251">
        <v>92</v>
      </c>
      <c r="F10" s="251">
        <v>1</v>
      </c>
      <c r="G10" s="251">
        <v>126</v>
      </c>
      <c r="H10" s="251">
        <v>264</v>
      </c>
      <c r="I10" s="251">
        <v>36</v>
      </c>
      <c r="J10" s="251">
        <v>240</v>
      </c>
      <c r="K10" s="251">
        <v>33</v>
      </c>
      <c r="L10" s="251">
        <v>123</v>
      </c>
      <c r="M10" s="251">
        <v>208</v>
      </c>
      <c r="N10" s="251">
        <v>63</v>
      </c>
      <c r="O10" s="251">
        <v>19</v>
      </c>
      <c r="P10" s="251">
        <v>95</v>
      </c>
      <c r="Q10" s="251">
        <v>34</v>
      </c>
      <c r="R10" s="251">
        <v>5</v>
      </c>
      <c r="S10" s="251">
        <v>56</v>
      </c>
      <c r="T10" s="251">
        <v>62</v>
      </c>
      <c r="U10" s="251">
        <v>4</v>
      </c>
      <c r="V10" s="251">
        <v>51</v>
      </c>
      <c r="W10" s="251">
        <v>144</v>
      </c>
      <c r="X10" s="251">
        <v>2</v>
      </c>
      <c r="Y10" s="251">
        <v>51</v>
      </c>
      <c r="Z10" s="251">
        <v>9</v>
      </c>
      <c r="AA10" s="251">
        <v>14</v>
      </c>
      <c r="AB10" s="251">
        <v>33</v>
      </c>
      <c r="AC10" s="251">
        <v>6</v>
      </c>
      <c r="AD10" s="251">
        <v>77</v>
      </c>
      <c r="AE10" s="251">
        <v>42</v>
      </c>
      <c r="AF10" s="251">
        <v>5</v>
      </c>
      <c r="AG10" s="251">
        <v>66</v>
      </c>
      <c r="AH10" s="251">
        <v>122</v>
      </c>
      <c r="AI10" s="251">
        <v>18</v>
      </c>
      <c r="AJ10" s="251">
        <v>5</v>
      </c>
      <c r="AK10" s="251">
        <v>12</v>
      </c>
      <c r="AL10" s="251">
        <v>64</v>
      </c>
      <c r="AM10" s="251">
        <v>16</v>
      </c>
      <c r="AN10" s="251">
        <v>66</v>
      </c>
      <c r="AO10" s="251">
        <v>7</v>
      </c>
      <c r="AP10" s="251">
        <v>38</v>
      </c>
      <c r="AQ10" s="251">
        <v>10</v>
      </c>
      <c r="AR10" s="251">
        <v>39</v>
      </c>
      <c r="AS10" s="251">
        <v>79</v>
      </c>
      <c r="AT10" s="251">
        <v>32</v>
      </c>
      <c r="AU10" s="251">
        <v>82</v>
      </c>
      <c r="AV10" s="251">
        <v>17</v>
      </c>
      <c r="AW10" s="251">
        <v>48</v>
      </c>
      <c r="AX10" s="251">
        <v>26</v>
      </c>
      <c r="AY10" s="251">
        <v>139</v>
      </c>
      <c r="AZ10" s="251">
        <v>95</v>
      </c>
      <c r="BA10" s="251">
        <v>128</v>
      </c>
      <c r="BB10" s="251">
        <v>158</v>
      </c>
      <c r="BC10" s="251">
        <v>83</v>
      </c>
      <c r="BD10" s="251">
        <v>35</v>
      </c>
      <c r="BE10" s="251">
        <v>65</v>
      </c>
      <c r="BF10" s="251">
        <v>111</v>
      </c>
      <c r="BG10" s="251">
        <v>87</v>
      </c>
      <c r="BH10" s="251">
        <v>189</v>
      </c>
      <c r="BI10" s="251">
        <v>132</v>
      </c>
      <c r="BJ10" s="251">
        <v>56</v>
      </c>
      <c r="BK10" s="251">
        <v>124</v>
      </c>
      <c r="BL10" s="251">
        <v>84</v>
      </c>
      <c r="BM10" s="251">
        <v>127</v>
      </c>
      <c r="BN10" s="251">
        <v>53</v>
      </c>
      <c r="BO10" s="251">
        <v>151</v>
      </c>
      <c r="BP10" s="251">
        <v>397</v>
      </c>
      <c r="BQ10" s="251">
        <v>70</v>
      </c>
      <c r="BR10" s="251">
        <v>214</v>
      </c>
      <c r="BS10" s="251">
        <v>65</v>
      </c>
      <c r="BT10" s="251">
        <v>93</v>
      </c>
      <c r="BU10" s="251">
        <v>67</v>
      </c>
      <c r="BV10" s="251">
        <v>83</v>
      </c>
      <c r="BW10" s="251">
        <v>104</v>
      </c>
      <c r="BX10" s="251">
        <v>59</v>
      </c>
      <c r="BY10" s="251">
        <v>124</v>
      </c>
      <c r="BZ10" s="251">
        <v>86</v>
      </c>
      <c r="CA10" s="251">
        <v>151</v>
      </c>
      <c r="CB10" s="251">
        <v>26</v>
      </c>
      <c r="CC10" s="251">
        <v>134</v>
      </c>
      <c r="CD10" s="251">
        <v>82</v>
      </c>
      <c r="CE10" s="251">
        <v>60</v>
      </c>
      <c r="CF10" s="252">
        <v>6834</v>
      </c>
      <c r="CG10" s="253">
        <f>CF10/CF13</f>
        <v>0.19213900134952766</v>
      </c>
      <c r="CH10" s="254" t="s">
        <v>211</v>
      </c>
    </row>
    <row r="11" spans="1:86" x14ac:dyDescent="0.3">
      <c r="A11" s="250" t="s">
        <v>212</v>
      </c>
      <c r="B11" s="251">
        <v>16</v>
      </c>
      <c r="C11" s="251">
        <v>30</v>
      </c>
      <c r="D11" s="251"/>
      <c r="E11" s="251">
        <v>14</v>
      </c>
      <c r="F11" s="251"/>
      <c r="G11" s="251">
        <v>15</v>
      </c>
      <c r="H11" s="251">
        <v>72</v>
      </c>
      <c r="I11" s="251">
        <v>3</v>
      </c>
      <c r="J11" s="251">
        <v>69</v>
      </c>
      <c r="K11" s="251">
        <v>6</v>
      </c>
      <c r="L11" s="251">
        <v>27</v>
      </c>
      <c r="M11" s="251">
        <v>51</v>
      </c>
      <c r="N11" s="251">
        <v>12</v>
      </c>
      <c r="O11" s="251">
        <v>3</v>
      </c>
      <c r="P11" s="251">
        <v>28</v>
      </c>
      <c r="Q11" s="251">
        <v>28</v>
      </c>
      <c r="R11" s="251">
        <v>1</v>
      </c>
      <c r="S11" s="251">
        <v>22</v>
      </c>
      <c r="T11" s="251">
        <v>23</v>
      </c>
      <c r="U11" s="251">
        <v>3</v>
      </c>
      <c r="V11" s="251">
        <v>15</v>
      </c>
      <c r="W11" s="251">
        <v>37</v>
      </c>
      <c r="X11" s="251">
        <v>6</v>
      </c>
      <c r="Y11" s="251">
        <v>16</v>
      </c>
      <c r="Z11" s="251">
        <v>1</v>
      </c>
      <c r="AA11" s="251">
        <v>1</v>
      </c>
      <c r="AB11" s="251">
        <v>6</v>
      </c>
      <c r="AC11" s="251"/>
      <c r="AD11" s="251">
        <v>37</v>
      </c>
      <c r="AE11" s="251">
        <v>18</v>
      </c>
      <c r="AF11" s="251">
        <v>1</v>
      </c>
      <c r="AG11" s="251">
        <v>21</v>
      </c>
      <c r="AH11" s="251">
        <v>72</v>
      </c>
      <c r="AI11" s="251">
        <v>17</v>
      </c>
      <c r="AJ11" s="251">
        <v>2</v>
      </c>
      <c r="AK11" s="251">
        <v>4</v>
      </c>
      <c r="AL11" s="251">
        <v>17</v>
      </c>
      <c r="AM11" s="251">
        <v>12</v>
      </c>
      <c r="AN11" s="251">
        <v>16</v>
      </c>
      <c r="AO11" s="251">
        <v>2</v>
      </c>
      <c r="AP11" s="251">
        <v>11</v>
      </c>
      <c r="AQ11" s="251">
        <v>1</v>
      </c>
      <c r="AR11" s="251">
        <v>30</v>
      </c>
      <c r="AS11" s="251">
        <v>13</v>
      </c>
      <c r="AT11" s="251">
        <v>11</v>
      </c>
      <c r="AU11" s="251">
        <v>84</v>
      </c>
      <c r="AV11" s="251"/>
      <c r="AW11" s="251">
        <v>81</v>
      </c>
      <c r="AX11" s="251">
        <v>7</v>
      </c>
      <c r="AY11" s="251">
        <v>36</v>
      </c>
      <c r="AZ11" s="251">
        <v>22</v>
      </c>
      <c r="BA11" s="251">
        <v>32</v>
      </c>
      <c r="BB11" s="251">
        <v>37</v>
      </c>
      <c r="BC11" s="251">
        <v>28</v>
      </c>
      <c r="BD11" s="251">
        <v>24</v>
      </c>
      <c r="BE11" s="251">
        <v>57</v>
      </c>
      <c r="BF11" s="251">
        <v>37</v>
      </c>
      <c r="BG11" s="251">
        <v>28</v>
      </c>
      <c r="BH11" s="251">
        <v>61</v>
      </c>
      <c r="BI11" s="251">
        <v>37</v>
      </c>
      <c r="BJ11" s="251">
        <v>26</v>
      </c>
      <c r="BK11" s="251">
        <v>32</v>
      </c>
      <c r="BL11" s="251">
        <v>31</v>
      </c>
      <c r="BM11" s="251">
        <v>34</v>
      </c>
      <c r="BN11" s="251">
        <v>27</v>
      </c>
      <c r="BO11" s="251">
        <v>51</v>
      </c>
      <c r="BP11" s="251">
        <v>299</v>
      </c>
      <c r="BQ11" s="251">
        <v>21</v>
      </c>
      <c r="BR11" s="251">
        <v>101</v>
      </c>
      <c r="BS11" s="251">
        <v>19</v>
      </c>
      <c r="BT11" s="251">
        <v>42</v>
      </c>
      <c r="BU11" s="251">
        <v>18</v>
      </c>
      <c r="BV11" s="251">
        <v>12</v>
      </c>
      <c r="BW11" s="251">
        <v>90</v>
      </c>
      <c r="BX11" s="251">
        <v>20</v>
      </c>
      <c r="BY11" s="251">
        <v>55</v>
      </c>
      <c r="BZ11" s="251">
        <v>75</v>
      </c>
      <c r="CA11" s="251">
        <v>63</v>
      </c>
      <c r="CB11" s="251">
        <v>5</v>
      </c>
      <c r="CC11" s="251">
        <v>35</v>
      </c>
      <c r="CD11" s="251">
        <v>43</v>
      </c>
      <c r="CE11" s="251">
        <v>21</v>
      </c>
      <c r="CF11" s="252">
        <v>2481</v>
      </c>
      <c r="CG11" s="253">
        <f>CF11/CF13</f>
        <v>6.9753711201079621E-2</v>
      </c>
      <c r="CH11" s="254" t="s">
        <v>212</v>
      </c>
    </row>
    <row r="12" spans="1:86" x14ac:dyDescent="0.3">
      <c r="A12" s="250" t="s">
        <v>213</v>
      </c>
      <c r="B12" s="251">
        <v>33</v>
      </c>
      <c r="C12" s="251">
        <v>60</v>
      </c>
      <c r="D12" s="251"/>
      <c r="E12" s="251">
        <v>37</v>
      </c>
      <c r="F12" s="251"/>
      <c r="G12" s="251">
        <v>23</v>
      </c>
      <c r="H12" s="251">
        <v>70</v>
      </c>
      <c r="I12" s="251">
        <v>3</v>
      </c>
      <c r="J12" s="251">
        <v>86</v>
      </c>
      <c r="K12" s="251">
        <v>8</v>
      </c>
      <c r="L12" s="251">
        <v>24</v>
      </c>
      <c r="M12" s="251">
        <v>122</v>
      </c>
      <c r="N12" s="251">
        <v>25</v>
      </c>
      <c r="O12" s="251"/>
      <c r="P12" s="251">
        <v>24</v>
      </c>
      <c r="Q12" s="251">
        <v>13</v>
      </c>
      <c r="R12" s="251"/>
      <c r="S12" s="251">
        <v>46</v>
      </c>
      <c r="T12" s="251">
        <v>32</v>
      </c>
      <c r="U12" s="251">
        <v>1</v>
      </c>
      <c r="V12" s="251">
        <v>12</v>
      </c>
      <c r="W12" s="251">
        <v>52</v>
      </c>
      <c r="X12" s="251">
        <v>2</v>
      </c>
      <c r="Y12" s="251">
        <v>11</v>
      </c>
      <c r="Z12" s="251">
        <v>5</v>
      </c>
      <c r="AA12" s="251"/>
      <c r="AB12" s="251">
        <v>4</v>
      </c>
      <c r="AC12" s="251">
        <v>2</v>
      </c>
      <c r="AD12" s="251">
        <v>33</v>
      </c>
      <c r="AE12" s="251">
        <v>9</v>
      </c>
      <c r="AF12" s="251"/>
      <c r="AG12" s="251">
        <v>17</v>
      </c>
      <c r="AH12" s="251">
        <v>54</v>
      </c>
      <c r="AI12" s="251">
        <v>11</v>
      </c>
      <c r="AJ12" s="251"/>
      <c r="AK12" s="251">
        <v>1</v>
      </c>
      <c r="AL12" s="251">
        <v>18</v>
      </c>
      <c r="AM12" s="251">
        <v>24</v>
      </c>
      <c r="AN12" s="251">
        <v>6</v>
      </c>
      <c r="AO12" s="251">
        <v>3</v>
      </c>
      <c r="AP12" s="251">
        <v>18</v>
      </c>
      <c r="AQ12" s="251">
        <v>1</v>
      </c>
      <c r="AR12" s="251">
        <v>15</v>
      </c>
      <c r="AS12" s="251">
        <v>7</v>
      </c>
      <c r="AT12" s="251">
        <v>11</v>
      </c>
      <c r="AU12" s="251">
        <v>170</v>
      </c>
      <c r="AV12" s="251">
        <v>3</v>
      </c>
      <c r="AW12" s="251">
        <v>6</v>
      </c>
      <c r="AX12" s="251">
        <v>5</v>
      </c>
      <c r="AY12" s="251">
        <v>35</v>
      </c>
      <c r="AZ12" s="251">
        <v>15</v>
      </c>
      <c r="BA12" s="251">
        <v>36</v>
      </c>
      <c r="BB12" s="251">
        <v>40</v>
      </c>
      <c r="BC12" s="251">
        <v>15</v>
      </c>
      <c r="BD12" s="251">
        <v>33</v>
      </c>
      <c r="BE12" s="251">
        <v>22</v>
      </c>
      <c r="BF12" s="251">
        <v>73</v>
      </c>
      <c r="BG12" s="251">
        <v>20</v>
      </c>
      <c r="BH12" s="251">
        <v>56</v>
      </c>
      <c r="BI12" s="251">
        <v>52</v>
      </c>
      <c r="BJ12" s="251">
        <v>8</v>
      </c>
      <c r="BK12" s="251">
        <v>26</v>
      </c>
      <c r="BL12" s="251">
        <v>41</v>
      </c>
      <c r="BM12" s="251">
        <v>50</v>
      </c>
      <c r="BN12" s="251">
        <v>14</v>
      </c>
      <c r="BO12" s="251">
        <v>36</v>
      </c>
      <c r="BP12" s="251">
        <v>76</v>
      </c>
      <c r="BQ12" s="251">
        <v>29</v>
      </c>
      <c r="BR12" s="251">
        <v>199</v>
      </c>
      <c r="BS12" s="251">
        <v>49</v>
      </c>
      <c r="BT12" s="251">
        <v>45</v>
      </c>
      <c r="BU12" s="251">
        <v>37</v>
      </c>
      <c r="BV12" s="251">
        <v>12</v>
      </c>
      <c r="BW12" s="251">
        <v>22</v>
      </c>
      <c r="BX12" s="251">
        <v>11</v>
      </c>
      <c r="BY12" s="251">
        <v>61</v>
      </c>
      <c r="BZ12" s="251">
        <v>86</v>
      </c>
      <c r="CA12" s="251">
        <v>22</v>
      </c>
      <c r="CB12" s="251">
        <v>5</v>
      </c>
      <c r="CC12" s="251">
        <v>36</v>
      </c>
      <c r="CD12" s="251">
        <v>6</v>
      </c>
      <c r="CE12" s="251">
        <v>20</v>
      </c>
      <c r="CF12" s="252">
        <v>2395</v>
      </c>
      <c r="CG12" s="253">
        <f>CF12/CF13</f>
        <v>6.7335807467386419E-2</v>
      </c>
      <c r="CH12" s="254" t="s">
        <v>213</v>
      </c>
    </row>
    <row r="13" spans="1:86" x14ac:dyDescent="0.3">
      <c r="A13" s="246" t="s">
        <v>37</v>
      </c>
      <c r="B13" s="255">
        <v>902</v>
      </c>
      <c r="C13" s="255">
        <v>183</v>
      </c>
      <c r="D13" s="255">
        <v>713</v>
      </c>
      <c r="E13" s="255">
        <v>384</v>
      </c>
      <c r="F13" s="255">
        <v>1</v>
      </c>
      <c r="G13" s="255">
        <v>381</v>
      </c>
      <c r="H13" s="255">
        <v>1131</v>
      </c>
      <c r="I13" s="255">
        <v>179</v>
      </c>
      <c r="J13" s="255">
        <v>1092</v>
      </c>
      <c r="K13" s="255">
        <v>177</v>
      </c>
      <c r="L13" s="255">
        <v>567</v>
      </c>
      <c r="M13" s="255">
        <v>1015</v>
      </c>
      <c r="N13" s="255">
        <v>339</v>
      </c>
      <c r="O13" s="255">
        <v>72</v>
      </c>
      <c r="P13" s="255">
        <v>427</v>
      </c>
      <c r="Q13" s="255">
        <v>458</v>
      </c>
      <c r="R13" s="255">
        <v>38</v>
      </c>
      <c r="S13" s="255">
        <v>372</v>
      </c>
      <c r="T13" s="255">
        <v>374</v>
      </c>
      <c r="U13" s="255">
        <v>32</v>
      </c>
      <c r="V13" s="255">
        <v>251</v>
      </c>
      <c r="W13" s="255">
        <v>733</v>
      </c>
      <c r="X13" s="255">
        <v>36</v>
      </c>
      <c r="Y13" s="255">
        <v>213</v>
      </c>
      <c r="Z13" s="255">
        <v>41</v>
      </c>
      <c r="AA13" s="255">
        <v>40</v>
      </c>
      <c r="AB13" s="255">
        <v>130</v>
      </c>
      <c r="AC13" s="255">
        <v>16</v>
      </c>
      <c r="AD13" s="255">
        <v>430</v>
      </c>
      <c r="AE13" s="255">
        <v>208</v>
      </c>
      <c r="AF13" s="255">
        <v>22</v>
      </c>
      <c r="AG13" s="255">
        <v>317</v>
      </c>
      <c r="AH13" s="255">
        <v>719</v>
      </c>
      <c r="AI13" s="255">
        <v>145</v>
      </c>
      <c r="AJ13" s="255">
        <v>13</v>
      </c>
      <c r="AK13" s="255">
        <v>55</v>
      </c>
      <c r="AL13" s="255">
        <v>322</v>
      </c>
      <c r="AM13" s="255">
        <v>195</v>
      </c>
      <c r="AN13" s="255">
        <v>248</v>
      </c>
      <c r="AO13" s="255">
        <v>22</v>
      </c>
      <c r="AP13" s="255">
        <v>229</v>
      </c>
      <c r="AQ13" s="255">
        <v>38</v>
      </c>
      <c r="AR13" s="255">
        <v>247</v>
      </c>
      <c r="AS13" s="255">
        <v>208</v>
      </c>
      <c r="AT13" s="255">
        <v>234</v>
      </c>
      <c r="AU13" s="255">
        <v>814</v>
      </c>
      <c r="AV13" s="255">
        <v>75</v>
      </c>
      <c r="AW13" s="255">
        <v>725</v>
      </c>
      <c r="AX13" s="255">
        <v>158</v>
      </c>
      <c r="AY13" s="255">
        <v>612</v>
      </c>
      <c r="AZ13" s="255">
        <v>359</v>
      </c>
      <c r="BA13" s="255">
        <v>581</v>
      </c>
      <c r="BB13" s="255">
        <v>553</v>
      </c>
      <c r="BC13" s="255">
        <v>478</v>
      </c>
      <c r="BD13" s="255">
        <v>285</v>
      </c>
      <c r="BE13" s="255">
        <v>546</v>
      </c>
      <c r="BF13" s="255">
        <v>560</v>
      </c>
      <c r="BG13" s="255">
        <v>399</v>
      </c>
      <c r="BH13" s="255">
        <v>828</v>
      </c>
      <c r="BI13" s="255">
        <v>609</v>
      </c>
      <c r="BJ13" s="255">
        <v>353</v>
      </c>
      <c r="BK13" s="255">
        <v>524</v>
      </c>
      <c r="BL13" s="255">
        <v>412</v>
      </c>
      <c r="BM13" s="255">
        <v>665</v>
      </c>
      <c r="BN13" s="255">
        <v>405</v>
      </c>
      <c r="BO13" s="255">
        <v>699</v>
      </c>
      <c r="BP13" s="255">
        <v>2579</v>
      </c>
      <c r="BQ13" s="255">
        <v>329</v>
      </c>
      <c r="BR13" s="255">
        <v>1495</v>
      </c>
      <c r="BS13" s="255">
        <v>566</v>
      </c>
      <c r="BT13" s="255">
        <v>595</v>
      </c>
      <c r="BU13" s="255">
        <v>321</v>
      </c>
      <c r="BV13" s="255">
        <v>321</v>
      </c>
      <c r="BW13" s="255">
        <v>769</v>
      </c>
      <c r="BX13" s="255">
        <v>426</v>
      </c>
      <c r="BY13" s="255">
        <v>678</v>
      </c>
      <c r="BZ13" s="255">
        <v>752</v>
      </c>
      <c r="CA13" s="255">
        <v>730</v>
      </c>
      <c r="CB13" s="255">
        <v>152</v>
      </c>
      <c r="CC13" s="255">
        <v>538</v>
      </c>
      <c r="CD13" s="255">
        <v>402</v>
      </c>
      <c r="CE13" s="255">
        <v>326</v>
      </c>
      <c r="CF13" s="255">
        <v>35568</v>
      </c>
      <c r="CG13" s="256">
        <f>SUM(CG4:CG12)</f>
        <v>1</v>
      </c>
      <c r="CH13" s="249"/>
    </row>
    <row r="14" spans="1:86" x14ac:dyDescent="0.3">
      <c r="A14" s="257"/>
    </row>
    <row r="15" spans="1:86" x14ac:dyDescent="0.3">
      <c r="A15" s="258" t="s">
        <v>214</v>
      </c>
      <c r="B15" s="197" t="s">
        <v>215</v>
      </c>
    </row>
    <row r="16" spans="1:86" x14ac:dyDescent="0.3">
      <c r="A16" s="259">
        <v>41579</v>
      </c>
      <c r="B16" s="260">
        <f>SUM(B13:D13)</f>
        <v>1798</v>
      </c>
      <c r="C16" s="249"/>
    </row>
    <row r="17" spans="1:16" x14ac:dyDescent="0.3">
      <c r="A17" s="259">
        <v>41609</v>
      </c>
      <c r="B17" s="260">
        <f>SUM(E13:G13)</f>
        <v>766</v>
      </c>
      <c r="C17" s="261"/>
    </row>
    <row r="18" spans="1:16" x14ac:dyDescent="0.3">
      <c r="A18" s="259">
        <v>41640</v>
      </c>
      <c r="B18" s="260">
        <f>SUM(H13)</f>
        <v>1131</v>
      </c>
      <c r="C18" s="261"/>
      <c r="D18" s="629" t="s">
        <v>216</v>
      </c>
      <c r="E18" s="629"/>
      <c r="F18" s="262">
        <f>AVERAGE(B25:B29,B31:B32)</f>
        <v>2231.1428571428573</v>
      </c>
      <c r="H18" t="s">
        <v>217</v>
      </c>
    </row>
    <row r="19" spans="1:16" x14ac:dyDescent="0.3">
      <c r="A19" s="259">
        <v>41671</v>
      </c>
      <c r="B19" s="260">
        <f>SUM(I13:M13)</f>
        <v>3030</v>
      </c>
      <c r="C19" s="123">
        <f>B19*12/E46</f>
        <v>8.8682926829268288E-2</v>
      </c>
      <c r="D19" s="629" t="s">
        <v>218</v>
      </c>
      <c r="E19" s="629"/>
      <c r="F19" s="263">
        <v>15</v>
      </c>
      <c r="L19">
        <v>2016</v>
      </c>
      <c r="M19">
        <v>2017</v>
      </c>
      <c r="N19">
        <v>2018</v>
      </c>
      <c r="O19">
        <v>2019</v>
      </c>
      <c r="P19">
        <v>2020</v>
      </c>
    </row>
    <row r="20" spans="1:16" x14ac:dyDescent="0.3">
      <c r="A20" s="259">
        <v>41699</v>
      </c>
      <c r="B20" s="264">
        <f>SUM(N13:R13)</f>
        <v>1334</v>
      </c>
      <c r="D20" s="629" t="s">
        <v>158</v>
      </c>
      <c r="E20" s="629"/>
      <c r="F20" s="262">
        <f>(F18/'Actuals + Forecasts'!C24)/F19</f>
        <v>8.1367829021372344</v>
      </c>
      <c r="H20" t="s">
        <v>219</v>
      </c>
      <c r="L20" s="245">
        <f>((F18*12)/440000)</f>
        <v>6.084935064935066E-2</v>
      </c>
      <c r="M20" s="448">
        <v>6.5000000000000002E-2</v>
      </c>
      <c r="N20" s="448">
        <v>0.08</v>
      </c>
      <c r="O20" s="448">
        <v>9.5000000000000001E-2</v>
      </c>
      <c r="P20" s="448">
        <v>0.115</v>
      </c>
    </row>
    <row r="21" spans="1:16" x14ac:dyDescent="0.3">
      <c r="A21" s="259">
        <v>41730</v>
      </c>
      <c r="B21" s="264">
        <f>SUM(S13:X13)</f>
        <v>1798</v>
      </c>
      <c r="L21" s="245"/>
      <c r="M21" s="245">
        <v>5.0000000000000001E-3</v>
      </c>
      <c r="N21" s="245">
        <v>7.4999999999999997E-3</v>
      </c>
      <c r="O21" s="245">
        <v>0.01</v>
      </c>
      <c r="P21" s="245">
        <v>0.01</v>
      </c>
    </row>
    <row r="22" spans="1:16" x14ac:dyDescent="0.3">
      <c r="A22" s="259">
        <v>41760</v>
      </c>
      <c r="B22" s="264">
        <f>SUM(Y13:AF13)</f>
        <v>1100</v>
      </c>
      <c r="H22" t="s">
        <v>220</v>
      </c>
      <c r="M22" s="265">
        <f>L20*700000</f>
        <v>42594.545454545463</v>
      </c>
      <c r="N22" t="s">
        <v>221</v>
      </c>
    </row>
    <row r="23" spans="1:16" ht="15" thickBot="1" x14ac:dyDescent="0.35">
      <c r="A23" s="259">
        <v>41791</v>
      </c>
      <c r="B23" s="264">
        <f>SUM(AG13:AM13)</f>
        <v>1766</v>
      </c>
    </row>
    <row r="24" spans="1:16" x14ac:dyDescent="0.3">
      <c r="A24" s="259">
        <v>41821</v>
      </c>
      <c r="B24" s="264">
        <f>SUM(AN13:AS13)</f>
        <v>992</v>
      </c>
      <c r="G24" s="266"/>
      <c r="H24" s="630" t="s">
        <v>66</v>
      </c>
      <c r="I24" s="630"/>
      <c r="J24" s="630"/>
      <c r="K24" s="630"/>
      <c r="L24" s="630"/>
      <c r="M24" s="630"/>
      <c r="N24" s="267"/>
      <c r="O24" s="268"/>
    </row>
    <row r="25" spans="1:16" x14ac:dyDescent="0.3">
      <c r="A25" s="259">
        <v>41852</v>
      </c>
      <c r="B25" s="264">
        <f>SUM(AT13:AX13)</f>
        <v>2006</v>
      </c>
      <c r="G25" s="269"/>
      <c r="H25" s="270">
        <v>2017</v>
      </c>
      <c r="I25" s="270">
        <v>2018</v>
      </c>
      <c r="J25" s="270">
        <v>2019</v>
      </c>
      <c r="K25" s="270">
        <v>2020</v>
      </c>
      <c r="L25" s="629" t="s">
        <v>198</v>
      </c>
      <c r="M25" s="629"/>
      <c r="N25" s="629"/>
      <c r="O25" s="271"/>
    </row>
    <row r="26" spans="1:16" x14ac:dyDescent="0.3">
      <c r="A26" s="259">
        <v>41883</v>
      </c>
      <c r="B26" s="264">
        <f>SUM(AY13:BC13)</f>
        <v>2583</v>
      </c>
      <c r="G26" s="269"/>
      <c r="H26" s="272">
        <f>700000*((M20+M21)/2)</f>
        <v>24500.000000000004</v>
      </c>
      <c r="I26" s="272">
        <f>((700000+20000)*N21*0.75)+(((700000+20000)*N20*0.25))</f>
        <v>18450</v>
      </c>
      <c r="J26" s="272">
        <f>((700000+40000)*O21*0.75)+(((700000+20000)*O20*0.25))</f>
        <v>22650</v>
      </c>
      <c r="K26" s="272">
        <f>((700000+60000)*P21*0.75)+(((700000+20000)*P20*0.25))</f>
        <v>26400</v>
      </c>
      <c r="L26" s="598" t="s">
        <v>222</v>
      </c>
      <c r="M26" s="598"/>
      <c r="N26" s="598"/>
      <c r="O26" s="271"/>
    </row>
    <row r="27" spans="1:16" x14ac:dyDescent="0.3">
      <c r="A27" s="259">
        <v>41913</v>
      </c>
      <c r="B27" s="264">
        <f>SUM(BD13:BG13)</f>
        <v>1790</v>
      </c>
      <c r="G27" s="269"/>
      <c r="H27" s="273">
        <f>H26/12</f>
        <v>2041.666666666667</v>
      </c>
      <c r="I27" s="273">
        <f t="shared" ref="I27:K27" si="0">I26/12</f>
        <v>1537.5</v>
      </c>
      <c r="J27" s="273">
        <f t="shared" si="0"/>
        <v>1887.5</v>
      </c>
      <c r="K27" s="273">
        <f t="shared" si="0"/>
        <v>2200</v>
      </c>
      <c r="L27" s="598" t="s">
        <v>223</v>
      </c>
      <c r="M27" s="598"/>
      <c r="N27" s="598"/>
      <c r="O27" s="271"/>
    </row>
    <row r="28" spans="1:16" x14ac:dyDescent="0.3">
      <c r="A28" s="259">
        <v>41944</v>
      </c>
      <c r="B28" s="264">
        <f>SUM(BH13:BK13)</f>
        <v>2314</v>
      </c>
      <c r="G28" s="269"/>
      <c r="H28" s="515"/>
      <c r="I28" s="515"/>
      <c r="J28" s="515"/>
      <c r="K28" s="515"/>
      <c r="L28" s="598" t="s">
        <v>158</v>
      </c>
      <c r="M28" s="598"/>
      <c r="N28" s="598"/>
      <c r="O28" s="271"/>
    </row>
    <row r="29" spans="1:16" x14ac:dyDescent="0.3">
      <c r="A29" s="259">
        <v>41974</v>
      </c>
      <c r="B29" s="264">
        <f>SUM(BL13:BO13)</f>
        <v>2181</v>
      </c>
      <c r="C29">
        <f>SUM(B18:B29)</f>
        <v>22025</v>
      </c>
      <c r="D29" s="123">
        <f>C29/E46</f>
        <v>5.371951219512195E-2</v>
      </c>
      <c r="G29" s="269"/>
      <c r="H29" s="274"/>
      <c r="I29" s="274"/>
      <c r="J29" s="274"/>
      <c r="K29" s="274"/>
      <c r="L29" s="274"/>
      <c r="M29" s="274"/>
      <c r="N29" s="274"/>
      <c r="O29" s="271"/>
    </row>
    <row r="30" spans="1:16" x14ac:dyDescent="0.3">
      <c r="A30" s="259">
        <v>42005</v>
      </c>
      <c r="B30" s="264">
        <f>SUM(BP13:BS13)</f>
        <v>4969</v>
      </c>
      <c r="G30" s="269"/>
      <c r="H30" s="624" t="s">
        <v>98</v>
      </c>
      <c r="I30" s="624"/>
      <c r="J30" s="624"/>
      <c r="K30" s="624"/>
      <c r="L30" s="624"/>
      <c r="M30" s="624"/>
      <c r="N30" s="624"/>
      <c r="O30" s="271"/>
    </row>
    <row r="31" spans="1:16" x14ac:dyDescent="0.3">
      <c r="A31" s="259">
        <v>42036</v>
      </c>
      <c r="B31" s="264">
        <f>SUM(BT13:BW13)</f>
        <v>2006</v>
      </c>
      <c r="G31" s="269"/>
      <c r="H31" s="631" t="s">
        <v>224</v>
      </c>
      <c r="I31" s="632"/>
      <c r="J31" s="632"/>
      <c r="K31" s="632"/>
      <c r="L31" s="632"/>
      <c r="M31" s="632"/>
      <c r="N31" s="633"/>
      <c r="O31" s="271"/>
    </row>
    <row r="32" spans="1:16" x14ac:dyDescent="0.3">
      <c r="A32" s="259">
        <v>42064</v>
      </c>
      <c r="B32" s="264">
        <f>SUM(BX13:CB13)</f>
        <v>2738</v>
      </c>
      <c r="G32" s="269"/>
      <c r="H32" s="598" t="s">
        <v>330</v>
      </c>
      <c r="I32" s="598"/>
      <c r="J32" s="598"/>
      <c r="K32" s="598"/>
      <c r="L32" s="598"/>
      <c r="M32" s="598"/>
      <c r="N32" s="598"/>
      <c r="O32" s="271"/>
    </row>
    <row r="33" spans="1:15" x14ac:dyDescent="0.3">
      <c r="A33" s="259">
        <v>42095</v>
      </c>
      <c r="B33" s="264">
        <v>2393</v>
      </c>
      <c r="G33" s="269"/>
      <c r="H33" s="598" t="s">
        <v>225</v>
      </c>
      <c r="I33" s="598"/>
      <c r="J33" s="598"/>
      <c r="K33" s="598"/>
      <c r="L33" s="598"/>
      <c r="M33" s="598"/>
      <c r="N33" s="598"/>
      <c r="O33" s="271"/>
    </row>
    <row r="34" spans="1:15" ht="15" thickBot="1" x14ac:dyDescent="0.35">
      <c r="A34" s="259">
        <v>42125</v>
      </c>
      <c r="B34" s="264">
        <v>2610</v>
      </c>
      <c r="G34" s="275"/>
      <c r="H34" s="276"/>
      <c r="I34" s="276"/>
      <c r="J34" s="276"/>
      <c r="K34" s="276"/>
      <c r="L34" s="276"/>
      <c r="M34" s="276"/>
      <c r="N34" s="276"/>
      <c r="O34" s="277"/>
    </row>
    <row r="35" spans="1:15" x14ac:dyDescent="0.3">
      <c r="A35" s="259">
        <v>42156</v>
      </c>
      <c r="B35" s="264">
        <v>5507</v>
      </c>
      <c r="C35">
        <f>B35*12</f>
        <v>66084</v>
      </c>
      <c r="D35" s="123">
        <f>C35/F46</f>
        <v>0.15549176470588236</v>
      </c>
      <c r="E35" t="s">
        <v>403</v>
      </c>
      <c r="G35" s="47"/>
      <c r="H35" s="521">
        <v>2017</v>
      </c>
      <c r="I35" s="521">
        <v>2018</v>
      </c>
      <c r="J35" s="521">
        <v>2019</v>
      </c>
      <c r="K35" s="521">
        <v>2020</v>
      </c>
    </row>
    <row r="36" spans="1:15" ht="43.2" x14ac:dyDescent="0.3">
      <c r="A36" s="259">
        <v>42186</v>
      </c>
      <c r="B36" s="264">
        <v>3499</v>
      </c>
      <c r="G36" s="561" t="s">
        <v>429</v>
      </c>
      <c r="H36" s="562"/>
      <c r="I36" s="562"/>
      <c r="J36" s="562"/>
      <c r="K36" s="562"/>
    </row>
    <row r="37" spans="1:15" x14ac:dyDescent="0.3">
      <c r="A37" s="259">
        <v>42217</v>
      </c>
      <c r="B37" s="264">
        <v>1470</v>
      </c>
    </row>
    <row r="38" spans="1:15" ht="72" x14ac:dyDescent="0.3">
      <c r="A38" s="259">
        <v>42248</v>
      </c>
      <c r="B38" s="264">
        <v>506</v>
      </c>
      <c r="F38" s="557" t="s">
        <v>380</v>
      </c>
      <c r="G38" s="411">
        <v>2016</v>
      </c>
      <c r="H38" s="411">
        <v>2017</v>
      </c>
      <c r="I38" s="411">
        <v>2018</v>
      </c>
      <c r="J38" s="411">
        <v>2019</v>
      </c>
      <c r="K38" s="411">
        <v>2020</v>
      </c>
    </row>
    <row r="39" spans="1:15" x14ac:dyDescent="0.3">
      <c r="A39" s="259">
        <v>42278</v>
      </c>
      <c r="B39" s="264">
        <v>484</v>
      </c>
      <c r="G39" s="272">
        <f>440000*0.06</f>
        <v>26400</v>
      </c>
      <c r="H39" s="272">
        <f>(440000-G39)*0.065</f>
        <v>26884</v>
      </c>
      <c r="I39" s="272">
        <f>(440000-G39-H39)*0.07</f>
        <v>27070.120000000003</v>
      </c>
      <c r="J39" s="272">
        <f>(440000-G39-H39-I39)*0.075</f>
        <v>26973.440999999999</v>
      </c>
      <c r="K39" s="272">
        <f>(440000-G39-H39-I39-J39)*0.08</f>
        <v>26613.795120000002</v>
      </c>
    </row>
    <row r="40" spans="1:15" x14ac:dyDescent="0.3">
      <c r="A40" s="259">
        <v>42309</v>
      </c>
      <c r="B40" s="470">
        <v>582</v>
      </c>
      <c r="H40" s="123"/>
      <c r="I40" s="123"/>
      <c r="J40" s="123"/>
      <c r="K40" s="123"/>
    </row>
    <row r="41" spans="1:15" x14ac:dyDescent="0.3">
      <c r="A41" s="259">
        <v>42339</v>
      </c>
      <c r="B41" s="470">
        <v>575</v>
      </c>
      <c r="C41">
        <f>SUM(B30:B41)</f>
        <v>27339</v>
      </c>
      <c r="D41" s="123">
        <f>C41/F46</f>
        <v>6.4327058823529418E-2</v>
      </c>
    </row>
    <row r="42" spans="1:15" x14ac:dyDescent="0.3">
      <c r="A42" s="183"/>
    </row>
    <row r="43" spans="1:15" x14ac:dyDescent="0.3">
      <c r="A43" s="183"/>
    </row>
    <row r="44" spans="1:15" x14ac:dyDescent="0.3">
      <c r="A44" s="183"/>
      <c r="B44" s="626" t="s">
        <v>397</v>
      </c>
      <c r="E44" s="439">
        <v>2014</v>
      </c>
      <c r="F44" s="439">
        <v>2015</v>
      </c>
      <c r="G44" s="439">
        <v>2016</v>
      </c>
      <c r="H44" s="439">
        <v>2017</v>
      </c>
      <c r="I44" s="439">
        <v>2018</v>
      </c>
      <c r="J44" s="439">
        <v>2019</v>
      </c>
      <c r="K44" s="439">
        <v>2020</v>
      </c>
    </row>
    <row r="45" spans="1:15" x14ac:dyDescent="0.3">
      <c r="A45" s="183"/>
      <c r="B45" s="627"/>
      <c r="D45" s="278" t="s">
        <v>398</v>
      </c>
      <c r="E45" s="440">
        <f>E48/E46</f>
        <v>5.371951219512195E-2</v>
      </c>
      <c r="F45" s="440">
        <f>F48/F46</f>
        <v>6.4327058823529418E-2</v>
      </c>
      <c r="G45" s="441">
        <v>0.06</v>
      </c>
      <c r="H45" s="552">
        <v>6.5000000000000002E-2</v>
      </c>
      <c r="I45" s="552">
        <v>0.08</v>
      </c>
      <c r="J45" s="552">
        <v>9.5000000000000001E-2</v>
      </c>
      <c r="K45" s="552">
        <v>0.115</v>
      </c>
      <c r="L45" s="272">
        <f>K46-K48</f>
        <v>284952.07131599996</v>
      </c>
    </row>
    <row r="46" spans="1:15" x14ac:dyDescent="0.3">
      <c r="A46" s="183"/>
      <c r="B46" s="627"/>
      <c r="D46" s="278" t="s">
        <v>399</v>
      </c>
      <c r="E46" s="442">
        <v>410000</v>
      </c>
      <c r="F46" s="442">
        <v>425000</v>
      </c>
      <c r="G46" s="272">
        <f>440000</f>
        <v>440000</v>
      </c>
      <c r="H46" s="553">
        <f>G46-G48</f>
        <v>413600</v>
      </c>
      <c r="I46" s="553">
        <f>H46-H48</f>
        <v>386716</v>
      </c>
      <c r="J46" s="553">
        <f t="shared" ref="J46:K46" si="1">I46-I48</f>
        <v>355778.72</v>
      </c>
      <c r="K46" s="553">
        <f t="shared" si="1"/>
        <v>321979.74159999995</v>
      </c>
    </row>
    <row r="47" spans="1:15" x14ac:dyDescent="0.3">
      <c r="A47" s="183"/>
      <c r="B47" s="627"/>
      <c r="D47" s="278" t="s">
        <v>400</v>
      </c>
      <c r="E47" s="442">
        <v>2</v>
      </c>
      <c r="F47" s="442">
        <v>3</v>
      </c>
      <c r="G47" s="272">
        <v>4</v>
      </c>
      <c r="H47" s="553">
        <v>5</v>
      </c>
      <c r="I47" s="553">
        <v>6</v>
      </c>
      <c r="J47" s="553">
        <v>7</v>
      </c>
      <c r="K47" s="553">
        <v>8</v>
      </c>
    </row>
    <row r="48" spans="1:15" x14ac:dyDescent="0.3">
      <c r="B48" s="627"/>
      <c r="D48" s="443" t="s">
        <v>397</v>
      </c>
      <c r="E48" s="444">
        <f>C29</f>
        <v>22025</v>
      </c>
      <c r="F48" s="444">
        <f>C41</f>
        <v>27339</v>
      </c>
      <c r="G48" s="445">
        <f>G45*G46</f>
        <v>26400</v>
      </c>
      <c r="H48" s="554">
        <f t="shared" ref="H48:K48" si="2">H45*H46</f>
        <v>26884</v>
      </c>
      <c r="I48" s="554">
        <f t="shared" si="2"/>
        <v>30937.279999999999</v>
      </c>
      <c r="J48" s="554">
        <f t="shared" si="2"/>
        <v>33798.9784</v>
      </c>
      <c r="K48" s="554">
        <f t="shared" si="2"/>
        <v>37027.670283999993</v>
      </c>
    </row>
    <row r="49" spans="2:12" x14ac:dyDescent="0.3">
      <c r="B49" s="627"/>
      <c r="D49" s="278"/>
      <c r="E49" s="9"/>
      <c r="F49" s="9"/>
    </row>
    <row r="50" spans="2:12" x14ac:dyDescent="0.3">
      <c r="B50" s="628"/>
      <c r="D50" s="278"/>
      <c r="E50" s="446"/>
      <c r="F50" s="446"/>
      <c r="G50" s="9"/>
      <c r="H50" s="85"/>
      <c r="I50" s="85"/>
      <c r="J50" s="85"/>
      <c r="K50" s="85"/>
    </row>
    <row r="51" spans="2:12" x14ac:dyDescent="0.3">
      <c r="G51" s="446"/>
      <c r="H51" s="555"/>
      <c r="I51" s="555"/>
      <c r="J51" s="555"/>
      <c r="K51" s="555"/>
    </row>
    <row r="52" spans="2:12" x14ac:dyDescent="0.3">
      <c r="H52" s="2"/>
      <c r="I52" s="2"/>
      <c r="J52" s="2"/>
      <c r="K52" s="2"/>
    </row>
    <row r="53" spans="2:12" x14ac:dyDescent="0.3">
      <c r="H53" s="2"/>
      <c r="I53" s="2"/>
      <c r="J53" s="2"/>
      <c r="K53" s="2"/>
    </row>
    <row r="54" spans="2:12" x14ac:dyDescent="0.3">
      <c r="B54" s="626" t="s">
        <v>401</v>
      </c>
      <c r="E54" s="439">
        <v>2014</v>
      </c>
      <c r="F54" s="439">
        <v>2015</v>
      </c>
      <c r="G54" s="439">
        <v>2016</v>
      </c>
      <c r="H54" s="556">
        <v>2017</v>
      </c>
      <c r="I54" s="556">
        <v>2018</v>
      </c>
      <c r="J54" s="556">
        <v>2019</v>
      </c>
      <c r="K54" s="556">
        <v>2020</v>
      </c>
    </row>
    <row r="55" spans="2:12" x14ac:dyDescent="0.3">
      <c r="B55" s="627"/>
      <c r="D55" s="278" t="s">
        <v>398</v>
      </c>
      <c r="E55" s="440" t="e">
        <f>E59/E57</f>
        <v>#DIV/0!</v>
      </c>
      <c r="F55" s="440" t="e">
        <f>F59/F57</f>
        <v>#DIV/0!</v>
      </c>
      <c r="G55" s="441"/>
      <c r="H55" s="552">
        <v>5.0000000000000001E-3</v>
      </c>
      <c r="I55" s="552">
        <v>7.4999999999999997E-3</v>
      </c>
      <c r="J55" s="552">
        <v>0.01</v>
      </c>
      <c r="K55" s="552">
        <v>0.01</v>
      </c>
    </row>
    <row r="56" spans="2:12" x14ac:dyDescent="0.3">
      <c r="B56" s="627"/>
      <c r="D56" s="278" t="s">
        <v>402</v>
      </c>
      <c r="E56" s="440"/>
      <c r="F56" s="440"/>
      <c r="G56" s="272">
        <v>17087.825237314493</v>
      </c>
      <c r="H56" s="553">
        <v>16826.11505261323</v>
      </c>
      <c r="I56" s="553">
        <v>17240.389890255174</v>
      </c>
      <c r="J56" s="553">
        <v>16367.325813170755</v>
      </c>
      <c r="K56" s="553">
        <v>16268.831354402158</v>
      </c>
    </row>
    <row r="57" spans="2:12" x14ac:dyDescent="0.3">
      <c r="B57" s="627"/>
      <c r="D57" s="278" t="s">
        <v>399</v>
      </c>
      <c r="E57" s="442">
        <v>0</v>
      </c>
      <c r="F57" s="442">
        <v>0</v>
      </c>
      <c r="G57" s="272">
        <v>276047</v>
      </c>
      <c r="H57" s="553">
        <f>G57+H48+H56+G56+G48</f>
        <v>363244.94028992776</v>
      </c>
      <c r="I57" s="553">
        <f>H57+I48+I56</f>
        <v>411422.61018018296</v>
      </c>
      <c r="J57" s="553">
        <f>I57+J48+J56</f>
        <v>461588.91439335374</v>
      </c>
      <c r="K57" s="553">
        <f>J57+K48+K56</f>
        <v>514885.41603175591</v>
      </c>
      <c r="L57" s="447"/>
    </row>
    <row r="58" spans="2:12" x14ac:dyDescent="0.3">
      <c r="B58" s="627"/>
      <c r="D58" s="278" t="s">
        <v>400</v>
      </c>
      <c r="E58" s="442">
        <v>0</v>
      </c>
      <c r="F58" s="442">
        <v>0</v>
      </c>
      <c r="G58" s="272">
        <v>1</v>
      </c>
      <c r="H58" s="553">
        <v>2</v>
      </c>
      <c r="I58" s="553">
        <v>3</v>
      </c>
      <c r="J58" s="553">
        <v>4</v>
      </c>
      <c r="K58" s="553">
        <v>5</v>
      </c>
    </row>
    <row r="59" spans="2:12" x14ac:dyDescent="0.3">
      <c r="B59" s="627"/>
      <c r="D59" s="443" t="s">
        <v>397</v>
      </c>
      <c r="E59" s="444">
        <f>C35</f>
        <v>66084</v>
      </c>
      <c r="F59" s="444">
        <f>C47</f>
        <v>0</v>
      </c>
      <c r="G59" s="554">
        <f>G55*G57</f>
        <v>0</v>
      </c>
      <c r="H59" s="554">
        <f t="shared" ref="H59:K59" si="3">H55*H57</f>
        <v>1816.2247014496388</v>
      </c>
      <c r="I59" s="554">
        <f t="shared" si="3"/>
        <v>3085.6695763513721</v>
      </c>
      <c r="J59" s="554">
        <f t="shared" si="3"/>
        <v>4615.8891439335375</v>
      </c>
      <c r="K59" s="554">
        <f t="shared" si="3"/>
        <v>5148.854160317559</v>
      </c>
    </row>
    <row r="60" spans="2:12" x14ac:dyDescent="0.3">
      <c r="B60" s="627"/>
      <c r="D60" s="278"/>
      <c r="E60" s="9"/>
      <c r="F60" s="9"/>
    </row>
    <row r="61" spans="2:12" x14ac:dyDescent="0.3">
      <c r="B61" s="628"/>
      <c r="D61" s="278"/>
      <c r="E61" s="446"/>
      <c r="F61" s="446"/>
      <c r="G61" s="9"/>
      <c r="H61" s="9"/>
      <c r="I61" s="9"/>
      <c r="J61" s="9"/>
      <c r="K61" s="9"/>
    </row>
    <row r="62" spans="2:12" x14ac:dyDescent="0.3">
      <c r="G62" s="446"/>
      <c r="H62" s="446"/>
      <c r="I62" s="446"/>
      <c r="J62" s="446"/>
      <c r="K62" s="446"/>
    </row>
    <row r="66" spans="4:11" x14ac:dyDescent="0.3">
      <c r="G66" s="9"/>
      <c r="H66" s="9"/>
      <c r="I66" s="9"/>
      <c r="J66" s="9"/>
      <c r="K66" s="9"/>
    </row>
    <row r="68" spans="4:11" x14ac:dyDescent="0.3">
      <c r="D68" s="5" t="s">
        <v>404</v>
      </c>
    </row>
    <row r="69" spans="4:11" x14ac:dyDescent="0.3">
      <c r="E69" s="449">
        <v>2014</v>
      </c>
      <c r="F69" s="449">
        <v>2015</v>
      </c>
    </row>
    <row r="70" spans="4:11" x14ac:dyDescent="0.3">
      <c r="D70" s="278" t="s">
        <v>82</v>
      </c>
      <c r="E70" s="450">
        <f>E48</f>
        <v>22025</v>
      </c>
      <c r="F70" s="450">
        <f>F48</f>
        <v>27339</v>
      </c>
    </row>
    <row r="71" spans="4:11" x14ac:dyDescent="0.3">
      <c r="D71" s="278" t="s">
        <v>405</v>
      </c>
      <c r="E71" s="451">
        <f>C19</f>
        <v>8.8682926829268288E-2</v>
      </c>
      <c r="F71" s="452">
        <f>D35</f>
        <v>0.15549176470588236</v>
      </c>
    </row>
    <row r="72" spans="4:11" x14ac:dyDescent="0.3">
      <c r="D72" s="278" t="s">
        <v>406</v>
      </c>
      <c r="E72" s="452">
        <f>E45</f>
        <v>5.371951219512195E-2</v>
      </c>
      <c r="F72" s="452">
        <f>F45</f>
        <v>6.4327058823529418E-2</v>
      </c>
    </row>
  </sheetData>
  <mergeCells count="14">
    <mergeCell ref="B44:B50"/>
    <mergeCell ref="B54:B61"/>
    <mergeCell ref="H33:N33"/>
    <mergeCell ref="D18:E18"/>
    <mergeCell ref="D19:E19"/>
    <mergeCell ref="D20:E20"/>
    <mergeCell ref="H24:M24"/>
    <mergeCell ref="L25:N25"/>
    <mergeCell ref="L26:N26"/>
    <mergeCell ref="L27:N27"/>
    <mergeCell ref="L28:N28"/>
    <mergeCell ref="H30:N30"/>
    <mergeCell ref="H31:N31"/>
    <mergeCell ref="H32:N3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
  <sheetViews>
    <sheetView topLeftCell="A16" workbookViewId="0">
      <selection activeCell="C24" sqref="C24"/>
    </sheetView>
  </sheetViews>
  <sheetFormatPr defaultRowHeight="14.4" x14ac:dyDescent="0.3"/>
  <cols>
    <col min="1" max="1" width="11.44140625" customWidth="1"/>
    <col min="2" max="2" width="10" bestFit="1" customWidth="1"/>
    <col min="3" max="3" width="12.5546875" bestFit="1" customWidth="1"/>
    <col min="4" max="7" width="11.5546875" bestFit="1" customWidth="1"/>
    <col min="8" max="8" width="49.109375" bestFit="1" customWidth="1"/>
    <col min="10" max="15" width="10" bestFit="1" customWidth="1"/>
    <col min="17" max="22" width="11.5546875" bestFit="1" customWidth="1"/>
  </cols>
  <sheetData>
    <row r="1" spans="1:22" ht="15" thickBot="1" x14ac:dyDescent="0.35"/>
    <row r="2" spans="1:22" x14ac:dyDescent="0.3">
      <c r="A2" s="8" t="s">
        <v>104</v>
      </c>
      <c r="J2" s="110" t="s">
        <v>39</v>
      </c>
      <c r="K2" s="110" t="s">
        <v>40</v>
      </c>
      <c r="L2" s="110" t="s">
        <v>41</v>
      </c>
      <c r="M2" s="110" t="s">
        <v>42</v>
      </c>
      <c r="N2" s="110" t="s">
        <v>43</v>
      </c>
      <c r="O2" s="110" t="s">
        <v>44</v>
      </c>
    </row>
    <row r="3" spans="1:22" x14ac:dyDescent="0.3">
      <c r="J3" s="111" t="s">
        <v>66</v>
      </c>
      <c r="K3" s="111" t="s">
        <v>66</v>
      </c>
      <c r="L3" s="111" t="s">
        <v>66</v>
      </c>
      <c r="M3" s="111" t="s">
        <v>66</v>
      </c>
      <c r="N3" s="111" t="s">
        <v>66</v>
      </c>
      <c r="O3" s="111" t="s">
        <v>66</v>
      </c>
    </row>
    <row r="4" spans="1:22" x14ac:dyDescent="0.3">
      <c r="A4" t="s">
        <v>105</v>
      </c>
      <c r="I4" s="112" t="s">
        <v>106</v>
      </c>
      <c r="J4" s="520"/>
      <c r="K4" s="520"/>
      <c r="L4" s="520"/>
      <c r="M4" s="520"/>
      <c r="N4" s="520"/>
      <c r="O4" s="520"/>
    </row>
    <row r="5" spans="1:22" x14ac:dyDescent="0.3">
      <c r="I5" s="112" t="s">
        <v>102</v>
      </c>
      <c r="J5" s="113">
        <v>988724</v>
      </c>
      <c r="K5" s="113">
        <v>988724</v>
      </c>
      <c r="L5" s="113">
        <v>988724</v>
      </c>
      <c r="M5" s="113">
        <v>988724</v>
      </c>
      <c r="N5" s="113">
        <v>988724</v>
      </c>
      <c r="O5" s="113">
        <v>988724</v>
      </c>
    </row>
    <row r="6" spans="1:22" x14ac:dyDescent="0.3">
      <c r="H6" t="s">
        <v>134</v>
      </c>
      <c r="I6" s="146">
        <v>0.75</v>
      </c>
      <c r="J6" s="147">
        <f>J5*$I$6</f>
        <v>741543</v>
      </c>
      <c r="K6" s="147">
        <f t="shared" ref="K6:O6" si="0">K5*$I$6</f>
        <v>741543</v>
      </c>
      <c r="L6" s="147">
        <f t="shared" si="0"/>
        <v>741543</v>
      </c>
      <c r="M6" s="147">
        <f t="shared" si="0"/>
        <v>741543</v>
      </c>
      <c r="N6" s="147">
        <f t="shared" si="0"/>
        <v>741543</v>
      </c>
      <c r="O6" s="147">
        <f t="shared" si="0"/>
        <v>741543</v>
      </c>
    </row>
    <row r="7" spans="1:22" x14ac:dyDescent="0.3">
      <c r="A7" t="s">
        <v>107</v>
      </c>
      <c r="H7" t="s">
        <v>135</v>
      </c>
      <c r="I7" s="146">
        <v>0.25</v>
      </c>
      <c r="J7" s="147">
        <f>J5*$I$7</f>
        <v>247181</v>
      </c>
      <c r="K7" s="147">
        <f t="shared" ref="K7:O7" si="1">K5*$I$7</f>
        <v>247181</v>
      </c>
      <c r="L7" s="147">
        <f t="shared" si="1"/>
        <v>247181</v>
      </c>
      <c r="M7" s="147">
        <f t="shared" si="1"/>
        <v>247181</v>
      </c>
      <c r="N7" s="147">
        <f t="shared" si="1"/>
        <v>247181</v>
      </c>
      <c r="O7" s="147">
        <f t="shared" si="1"/>
        <v>247181</v>
      </c>
    </row>
    <row r="9" spans="1:22" x14ac:dyDescent="0.3">
      <c r="A9" s="5" t="s">
        <v>101</v>
      </c>
    </row>
    <row r="10" spans="1:22" x14ac:dyDescent="0.3">
      <c r="A10" s="518"/>
      <c r="B10" s="101" t="s">
        <v>86</v>
      </c>
      <c r="D10" s="114"/>
    </row>
    <row r="11" spans="1:22" x14ac:dyDescent="0.3">
      <c r="A11" s="109">
        <v>988724</v>
      </c>
      <c r="B11" t="s">
        <v>108</v>
      </c>
      <c r="D11" s="114"/>
    </row>
    <row r="12" spans="1:22" x14ac:dyDescent="0.3">
      <c r="A12" s="5" t="s">
        <v>109</v>
      </c>
    </row>
    <row r="13" spans="1:22" x14ac:dyDescent="0.3">
      <c r="A13" s="519"/>
      <c r="B13" t="s">
        <v>110</v>
      </c>
    </row>
    <row r="14" spans="1:22" ht="15" thickBot="1" x14ac:dyDescent="0.35"/>
    <row r="15" spans="1:22" x14ac:dyDescent="0.3">
      <c r="Q15" s="115" t="s">
        <v>39</v>
      </c>
      <c r="R15" s="115" t="s">
        <v>40</v>
      </c>
      <c r="S15" s="115" t="s">
        <v>41</v>
      </c>
      <c r="T15" s="115" t="s">
        <v>42</v>
      </c>
      <c r="U15" s="115" t="s">
        <v>43</v>
      </c>
      <c r="V15" s="115" t="s">
        <v>44</v>
      </c>
    </row>
    <row r="16" spans="1:22" x14ac:dyDescent="0.3">
      <c r="A16" s="8" t="s">
        <v>111</v>
      </c>
      <c r="Q16" s="116" t="s">
        <v>66</v>
      </c>
      <c r="R16" s="116" t="s">
        <v>66</v>
      </c>
      <c r="S16" s="116" t="s">
        <v>66</v>
      </c>
      <c r="T16" s="116" t="s">
        <v>66</v>
      </c>
      <c r="U16" s="116" t="s">
        <v>66</v>
      </c>
      <c r="V16" s="116" t="s">
        <v>66</v>
      </c>
    </row>
    <row r="17" spans="1:22" x14ac:dyDescent="0.3">
      <c r="P17" s="117" t="s">
        <v>106</v>
      </c>
      <c r="Q17" s="520"/>
      <c r="R17" s="520"/>
      <c r="S17" s="520"/>
      <c r="T17" s="520"/>
      <c r="U17" s="520"/>
      <c r="V17" s="520"/>
    </row>
    <row r="18" spans="1:22" x14ac:dyDescent="0.3">
      <c r="A18" t="s">
        <v>112</v>
      </c>
      <c r="P18" s="117" t="s">
        <v>102</v>
      </c>
      <c r="Q18" s="118">
        <v>1628585.9999999998</v>
      </c>
      <c r="R18" s="118">
        <v>1628585.9999999998</v>
      </c>
      <c r="S18" s="118">
        <v>1628585.9999999998</v>
      </c>
      <c r="T18" s="118">
        <v>1628585.9999999998</v>
      </c>
      <c r="U18" s="118">
        <v>1628585.9999999998</v>
      </c>
      <c r="V18" s="118">
        <v>1628585.9999999998</v>
      </c>
    </row>
    <row r="19" spans="1:22" x14ac:dyDescent="0.3">
      <c r="O19" s="278" t="s">
        <v>134</v>
      </c>
      <c r="P19" s="146">
        <v>0.5</v>
      </c>
      <c r="Q19" s="147">
        <f>Q18*$P$19</f>
        <v>814292.99999999988</v>
      </c>
      <c r="R19" s="147">
        <f t="shared" ref="R19:V19" si="2">R18*$P$19</f>
        <v>814292.99999999988</v>
      </c>
      <c r="S19" s="147">
        <f t="shared" si="2"/>
        <v>814292.99999999988</v>
      </c>
      <c r="T19" s="147">
        <f t="shared" si="2"/>
        <v>814292.99999999988</v>
      </c>
      <c r="U19" s="147">
        <f t="shared" si="2"/>
        <v>814292.99999999988</v>
      </c>
      <c r="V19" s="147">
        <f t="shared" si="2"/>
        <v>814292.99999999988</v>
      </c>
    </row>
    <row r="20" spans="1:22" x14ac:dyDescent="0.3">
      <c r="O20" s="278" t="s">
        <v>136</v>
      </c>
      <c r="P20" s="146">
        <v>0.5</v>
      </c>
      <c r="Q20" s="147">
        <f>Q18*$P$20</f>
        <v>814292.99999999988</v>
      </c>
      <c r="R20" s="147">
        <f t="shared" ref="R20:V20" si="3">R18*$P$20</f>
        <v>814292.99999999988</v>
      </c>
      <c r="S20" s="147">
        <f t="shared" si="3"/>
        <v>814292.99999999988</v>
      </c>
      <c r="T20" s="147">
        <f t="shared" si="3"/>
        <v>814292.99999999988</v>
      </c>
      <c r="U20" s="147">
        <f t="shared" si="3"/>
        <v>814292.99999999988</v>
      </c>
      <c r="V20" s="147">
        <f t="shared" si="3"/>
        <v>814292.99999999988</v>
      </c>
    </row>
    <row r="21" spans="1:22" x14ac:dyDescent="0.3">
      <c r="A21" t="s">
        <v>107</v>
      </c>
    </row>
    <row r="23" spans="1:22" x14ac:dyDescent="0.3">
      <c r="A23" s="5" t="s">
        <v>101</v>
      </c>
    </row>
    <row r="24" spans="1:22" x14ac:dyDescent="0.3">
      <c r="A24" s="518"/>
      <c r="B24" s="101" t="s">
        <v>86</v>
      </c>
    </row>
    <row r="25" spans="1:22" x14ac:dyDescent="0.3">
      <c r="A25" s="109">
        <f>1333586+295000</f>
        <v>1628586</v>
      </c>
      <c r="B25" t="s">
        <v>113</v>
      </c>
    </row>
    <row r="26" spans="1:22" x14ac:dyDescent="0.3">
      <c r="A26" s="5" t="s">
        <v>109</v>
      </c>
    </row>
    <row r="27" spans="1:22" x14ac:dyDescent="0.3">
      <c r="A27" s="519"/>
      <c r="B27" t="s">
        <v>114</v>
      </c>
    </row>
    <row r="29" spans="1:22" x14ac:dyDescent="0.3">
      <c r="A29" s="8" t="s">
        <v>115</v>
      </c>
    </row>
    <row r="30" spans="1:22" ht="15" thickBot="1" x14ac:dyDescent="0.35"/>
    <row r="31" spans="1:22" x14ac:dyDescent="0.3">
      <c r="C31" s="92" t="s">
        <v>39</v>
      </c>
      <c r="D31" s="92" t="s">
        <v>40</v>
      </c>
      <c r="E31" s="92" t="s">
        <v>41</v>
      </c>
      <c r="F31" s="92" t="s">
        <v>42</v>
      </c>
      <c r="G31" s="92" t="s">
        <v>43</v>
      </c>
      <c r="H31" s="92" t="s">
        <v>44</v>
      </c>
    </row>
    <row r="32" spans="1:22" ht="15" thickBot="1" x14ac:dyDescent="0.35">
      <c r="C32" s="93" t="s">
        <v>66</v>
      </c>
      <c r="D32" s="93" t="s">
        <v>66</v>
      </c>
      <c r="E32" s="93" t="s">
        <v>66</v>
      </c>
      <c r="F32" s="93" t="s">
        <v>66</v>
      </c>
      <c r="G32" s="93" t="s">
        <v>66</v>
      </c>
      <c r="H32" s="93" t="s">
        <v>66</v>
      </c>
    </row>
    <row r="33" spans="2:8" ht="15" thickBot="1" x14ac:dyDescent="0.35">
      <c r="B33" s="97" t="s">
        <v>106</v>
      </c>
      <c r="C33" s="516"/>
      <c r="D33" s="516"/>
      <c r="E33" s="516"/>
      <c r="F33" s="516"/>
      <c r="G33" s="517"/>
      <c r="H33" s="517"/>
    </row>
    <row r="34" spans="2:8" x14ac:dyDescent="0.3">
      <c r="B34" s="119">
        <v>503</v>
      </c>
      <c r="C34" s="120">
        <v>814292.99999999988</v>
      </c>
      <c r="D34" s="120">
        <v>814292.99999999988</v>
      </c>
      <c r="E34" s="120">
        <v>814292.99999999988</v>
      </c>
      <c r="F34" s="120">
        <v>814292.99999999988</v>
      </c>
      <c r="G34" s="120">
        <v>814292.99999999988</v>
      </c>
      <c r="H34" s="120">
        <v>814292.99999999988</v>
      </c>
    </row>
    <row r="35" spans="2:8" x14ac:dyDescent="0.3">
      <c r="B35" s="121" t="s">
        <v>116</v>
      </c>
      <c r="C35" s="122">
        <v>741543</v>
      </c>
      <c r="D35" s="122">
        <v>741543</v>
      </c>
      <c r="E35" s="122">
        <v>741543</v>
      </c>
      <c r="F35" s="122">
        <v>741543</v>
      </c>
      <c r="G35" s="122">
        <v>741543</v>
      </c>
      <c r="H35" s="122">
        <v>741543</v>
      </c>
    </row>
    <row r="36" spans="2:8" x14ac:dyDescent="0.3">
      <c r="B36" s="121" t="s">
        <v>37</v>
      </c>
      <c r="C36" s="122">
        <v>1555836</v>
      </c>
      <c r="D36" s="122">
        <v>1555836</v>
      </c>
      <c r="E36" s="122">
        <v>1555836</v>
      </c>
      <c r="F36" s="122">
        <v>1555836</v>
      </c>
      <c r="G36" s="122">
        <v>1555836</v>
      </c>
      <c r="H36" s="122">
        <v>1555836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50"/>
  <sheetViews>
    <sheetView topLeftCell="D16" zoomScale="110" zoomScaleNormal="110" workbookViewId="0">
      <selection activeCell="C14" sqref="C14"/>
    </sheetView>
  </sheetViews>
  <sheetFormatPr defaultRowHeight="14.4" x14ac:dyDescent="0.3"/>
  <cols>
    <col min="1" max="1" width="44.33203125" bestFit="1" customWidth="1"/>
    <col min="2" max="4" width="13.6640625" bestFit="1" customWidth="1"/>
    <col min="5" max="5" width="13.88671875" bestFit="1" customWidth="1"/>
    <col min="6" max="7" width="13.6640625" bestFit="1" customWidth="1"/>
    <col min="8" max="8" width="14.5546875" customWidth="1"/>
    <col min="9" max="9" width="13.6640625" bestFit="1" customWidth="1"/>
    <col min="11" max="11" width="41.5546875" customWidth="1"/>
  </cols>
  <sheetData>
    <row r="1" spans="1:17" x14ac:dyDescent="0.3">
      <c r="A1" s="314"/>
      <c r="B1" s="315" t="s">
        <v>275</v>
      </c>
      <c r="C1" s="316" t="s">
        <v>276</v>
      </c>
      <c r="D1" s="317" t="s">
        <v>276</v>
      </c>
      <c r="E1" s="317" t="s">
        <v>276</v>
      </c>
      <c r="F1" s="317" t="s">
        <v>276</v>
      </c>
      <c r="G1" s="317" t="s">
        <v>276</v>
      </c>
      <c r="H1" s="317" t="s">
        <v>276</v>
      </c>
      <c r="I1" s="318" t="s">
        <v>276</v>
      </c>
    </row>
    <row r="2" spans="1:17" x14ac:dyDescent="0.3">
      <c r="A2" s="319"/>
      <c r="B2" s="320" t="s">
        <v>277</v>
      </c>
      <c r="C2" s="321" t="s">
        <v>277</v>
      </c>
      <c r="D2" s="77" t="s">
        <v>39</v>
      </c>
      <c r="E2" s="77" t="s">
        <v>40</v>
      </c>
      <c r="F2" s="77" t="s">
        <v>41</v>
      </c>
      <c r="G2" s="77" t="s">
        <v>42</v>
      </c>
      <c r="H2" s="77" t="s">
        <v>43</v>
      </c>
      <c r="I2" s="322" t="s">
        <v>44</v>
      </c>
      <c r="K2" s="436"/>
      <c r="L2" s="418" t="s">
        <v>372</v>
      </c>
      <c r="M2" s="419"/>
      <c r="N2" s="419"/>
      <c r="O2" s="419"/>
      <c r="P2" s="419"/>
      <c r="Q2" s="420"/>
    </row>
    <row r="3" spans="1:17" x14ac:dyDescent="0.3">
      <c r="A3" s="323" t="s">
        <v>278</v>
      </c>
      <c r="B3" s="320"/>
      <c r="C3" s="321"/>
      <c r="D3" s="77"/>
      <c r="E3" s="77"/>
      <c r="F3" s="77"/>
      <c r="G3" s="77"/>
      <c r="H3" s="77"/>
      <c r="I3" s="322"/>
      <c r="K3" s="437" t="s">
        <v>279</v>
      </c>
      <c r="L3" s="421"/>
      <c r="M3" s="15"/>
      <c r="N3" s="15"/>
      <c r="O3" s="15"/>
      <c r="P3" s="15"/>
      <c r="Q3" s="58"/>
    </row>
    <row r="4" spans="1:17" x14ac:dyDescent="0.3">
      <c r="A4" s="324" t="s">
        <v>280</v>
      </c>
      <c r="B4" s="325">
        <v>38190492.013091758</v>
      </c>
      <c r="C4" s="326">
        <v>39561824.5977166</v>
      </c>
      <c r="D4" s="327"/>
      <c r="E4" s="327"/>
      <c r="F4" s="327"/>
      <c r="G4" s="327"/>
      <c r="H4" s="327"/>
      <c r="I4" s="328"/>
      <c r="K4" s="406"/>
      <c r="L4" s="422" t="s">
        <v>40</v>
      </c>
      <c r="M4" s="423" t="s">
        <v>41</v>
      </c>
      <c r="N4" s="423" t="s">
        <v>42</v>
      </c>
      <c r="O4" s="423" t="s">
        <v>43</v>
      </c>
      <c r="P4" s="423" t="s">
        <v>44</v>
      </c>
      <c r="Q4" s="424" t="s">
        <v>37</v>
      </c>
    </row>
    <row r="5" spans="1:17" x14ac:dyDescent="0.3">
      <c r="A5" s="324" t="s">
        <v>374</v>
      </c>
      <c r="B5" s="325">
        <v>0</v>
      </c>
      <c r="C5" s="326">
        <v>0</v>
      </c>
      <c r="D5" s="327">
        <f>Calc!D7+Calc!D11+Calc!D15+Calc!D20+Calc!D25+Calc!D30+Calc!D34+Calc!D38+Calc!D42+Calc!D47+Calc!D101+Calc!D132</f>
        <v>17587062.27814291</v>
      </c>
      <c r="E5" s="327">
        <f>Calc!E20+Calc!E25+Calc!E30+Calc!E34+Calc!E38+Calc!E42+Calc!E47+Calc!E101+Calc!E132</f>
        <v>13064777.934569646</v>
      </c>
      <c r="F5" s="327">
        <f>Calc!F20+Calc!F25+Calc!F30+Calc!F34+Calc!F38+Calc!F42+Calc!F47+Calc!F101+Calc!F132</f>
        <v>13728107.904425804</v>
      </c>
      <c r="G5" s="327">
        <f>Calc!G20+Calc!G25+Calc!G30+Calc!G34+Calc!G38+Calc!G42+Calc!G47+Calc!G101+Calc!G132</f>
        <v>15496305.300457815</v>
      </c>
      <c r="H5" s="327">
        <f>Calc!H20+Calc!H25+Calc!H30+Calc!H34+Calc!H38+Calc!H42+Calc!H47+Calc!H101+Calc!H132</f>
        <v>16706691.91704941</v>
      </c>
      <c r="I5" s="327">
        <f>Calc!I20+Calc!I25+Calc!I30+Calc!I34+Calc!I38+Calc!I42+Calc!I47+Calc!I101+Calc!I132</f>
        <v>17894119.628355101</v>
      </c>
      <c r="J5" s="457"/>
      <c r="K5" s="406" t="s">
        <v>54</v>
      </c>
      <c r="L5" s="425">
        <f>Calc!E134/10^6</f>
        <v>4.4186923110796883</v>
      </c>
      <c r="M5" s="410">
        <f>Calc!F134/10^6</f>
        <v>4.3406525649457661</v>
      </c>
      <c r="N5" s="410">
        <f>Calc!G134/10^6</f>
        <v>4.3439487975806728</v>
      </c>
      <c r="O5" s="410">
        <f>Calc!H134/10^6</f>
        <v>4.191177009885859</v>
      </c>
      <c r="P5" s="410">
        <f>Calc!I134/10^6</f>
        <v>4.1791317645858603</v>
      </c>
      <c r="Q5" s="426">
        <f>SUM(L5:P5)</f>
        <v>21.473602448077848</v>
      </c>
    </row>
    <row r="6" spans="1:17" x14ac:dyDescent="0.3">
      <c r="A6" s="324" t="s">
        <v>382</v>
      </c>
      <c r="B6" s="325">
        <v>0</v>
      </c>
      <c r="C6" s="326">
        <v>0</v>
      </c>
      <c r="D6" s="327">
        <f>Calc!D51+Calc!D55+Calc!D59</f>
        <v>18408581.76997469</v>
      </c>
      <c r="E6" s="327">
        <f>Calc!E51+Calc!E55+Calc!E59</f>
        <v>4625266.0849873452</v>
      </c>
      <c r="F6" s="327">
        <f>Calc!F51+Calc!F55+Calc!F59</f>
        <v>229941.79965365658</v>
      </c>
      <c r="G6" s="327">
        <f>Calc!G51+Calc!G55+Calc!G59</f>
        <v>229941.79965365658</v>
      </c>
      <c r="H6" s="327">
        <f>Calc!H51+Calc!H55+Calc!H59</f>
        <v>229941.79965365658</v>
      </c>
      <c r="I6" s="327">
        <f>Calc!I51+Calc!I55+Calc!I59</f>
        <v>229941.79965365658</v>
      </c>
      <c r="J6" s="457"/>
      <c r="K6" s="406" t="s">
        <v>389</v>
      </c>
      <c r="L6" s="425">
        <v>0</v>
      </c>
      <c r="M6" s="410">
        <v>0</v>
      </c>
      <c r="N6" s="410">
        <v>0</v>
      </c>
      <c r="O6" s="410">
        <v>0</v>
      </c>
      <c r="P6" s="410">
        <v>0</v>
      </c>
      <c r="Q6" s="426">
        <f t="shared" ref="Q6:Q12" si="0">SUM(L6:P6)</f>
        <v>0</v>
      </c>
    </row>
    <row r="7" spans="1:17" x14ac:dyDescent="0.3">
      <c r="A7" s="86" t="s">
        <v>281</v>
      </c>
      <c r="B7" s="325">
        <v>7229144.5879083965</v>
      </c>
      <c r="C7" s="326">
        <v>0</v>
      </c>
      <c r="D7" s="327">
        <f>Calc!D74</f>
        <v>0</v>
      </c>
      <c r="E7" s="327">
        <f>Calc!E74</f>
        <v>0</v>
      </c>
      <c r="F7" s="327">
        <f>Calc!F74</f>
        <v>0</v>
      </c>
      <c r="G7" s="327">
        <f>Calc!G74</f>
        <v>300000</v>
      </c>
      <c r="H7" s="327">
        <f>Calc!H74</f>
        <v>300000</v>
      </c>
      <c r="I7" s="327">
        <f>Calc!I74</f>
        <v>300000</v>
      </c>
      <c r="J7" s="457"/>
      <c r="K7" s="406" t="s">
        <v>387</v>
      </c>
      <c r="L7" s="425">
        <f>SUM(Calc!E20,Calc!E25,Calc!E38,Calc!E42)/10^6</f>
        <v>1.7472972995922618</v>
      </c>
      <c r="M7" s="410">
        <f>SUM(Calc!F20,Calc!F25,Calc!F38,Calc!F42)/10^6</f>
        <v>1.7186394111735157</v>
      </c>
      <c r="N7" s="410">
        <f>SUM(Calc!G20,Calc!G25,Calc!G38,Calc!G42)/10^6</f>
        <v>1.743766977267349</v>
      </c>
      <c r="O7" s="410">
        <f>SUM(Calc!H20,Calc!H25,Calc!H38,Calc!H42)/10^6</f>
        <v>1.6668557241895965</v>
      </c>
      <c r="P7" s="410">
        <f>SUM(Calc!I20,Calc!I25,Calc!I38,Calc!I42)/10^6</f>
        <v>1.659030485732321</v>
      </c>
      <c r="Q7" s="426">
        <f t="shared" si="0"/>
        <v>8.5355898979550435</v>
      </c>
    </row>
    <row r="8" spans="1:17" x14ac:dyDescent="0.3">
      <c r="A8" s="319" t="s">
        <v>282</v>
      </c>
      <c r="B8" s="329">
        <v>10463404.564366683</v>
      </c>
      <c r="C8" s="330">
        <v>10839121.316596782</v>
      </c>
      <c r="D8" s="331">
        <v>40000000</v>
      </c>
      <c r="E8" s="331"/>
      <c r="F8" s="331"/>
      <c r="G8" s="331"/>
      <c r="H8" s="331"/>
      <c r="I8" s="331"/>
      <c r="J8" s="457"/>
      <c r="K8" s="406" t="s">
        <v>390</v>
      </c>
      <c r="L8" s="522">
        <f>SUM(Calc!E30,Calc!E34,Calc!E47)/10^6</f>
        <v>6.898788323897695</v>
      </c>
      <c r="M8" s="523">
        <f>SUM(Calc!F30,Calc!F34,Calc!F47)/10^6</f>
        <v>7.6688159283065209</v>
      </c>
      <c r="N8" s="523">
        <f>SUM(Calc!G30,Calc!G34,Calc!G47)/10^6</f>
        <v>9.4085895256097931</v>
      </c>
      <c r="O8" s="523">
        <f>SUM(Calc!H30,Calc!H34,Calc!H47)/10^6</f>
        <v>10.848659182973956</v>
      </c>
      <c r="P8" s="523">
        <f>SUM(Calc!I30,Calc!I34,Calc!I47)/10^6</f>
        <v>12.055957378036922</v>
      </c>
      <c r="Q8" s="524">
        <f t="shared" si="0"/>
        <v>46.880810338824887</v>
      </c>
    </row>
    <row r="9" spans="1:17" x14ac:dyDescent="0.3">
      <c r="A9" s="319" t="s">
        <v>283</v>
      </c>
      <c r="B9" s="332">
        <v>4477818.5327962134</v>
      </c>
      <c r="C9" s="333">
        <v>4638606.6802742677</v>
      </c>
      <c r="D9" s="334">
        <v>0</v>
      </c>
      <c r="E9" s="334">
        <v>0</v>
      </c>
      <c r="F9" s="334">
        <v>0</v>
      </c>
      <c r="G9" s="334">
        <v>0</v>
      </c>
      <c r="H9" s="334">
        <v>0</v>
      </c>
      <c r="I9" s="334">
        <v>0</v>
      </c>
      <c r="J9" s="457"/>
      <c r="K9" s="525" t="s">
        <v>427</v>
      </c>
      <c r="L9" s="425">
        <f>SUM(L5:L8)</f>
        <v>13.064777934569644</v>
      </c>
      <c r="M9" s="410">
        <f t="shared" ref="M9:Q9" si="1">SUM(M5:M8)</f>
        <v>13.728107904425801</v>
      </c>
      <c r="N9" s="410">
        <f t="shared" si="1"/>
        <v>15.496305300457815</v>
      </c>
      <c r="O9" s="410">
        <f t="shared" si="1"/>
        <v>16.706691917049412</v>
      </c>
      <c r="P9" s="410">
        <f t="shared" si="1"/>
        <v>17.894119628355103</v>
      </c>
      <c r="Q9" s="426">
        <f t="shared" si="1"/>
        <v>76.890002684857777</v>
      </c>
    </row>
    <row r="10" spans="1:17" x14ac:dyDescent="0.3">
      <c r="A10" s="319" t="s">
        <v>298</v>
      </c>
      <c r="B10" s="329">
        <f t="shared" ref="B10:I10" si="2">SUM(B4:B9)</f>
        <v>60360859.698163047</v>
      </c>
      <c r="C10" s="330">
        <f t="shared" si="2"/>
        <v>55039552.594587654</v>
      </c>
      <c r="D10" s="331">
        <f t="shared" si="2"/>
        <v>75995644.048117608</v>
      </c>
      <c r="E10" s="331">
        <f t="shared" si="2"/>
        <v>17690044.019556992</v>
      </c>
      <c r="F10" s="331">
        <f t="shared" si="2"/>
        <v>13958049.70407946</v>
      </c>
      <c r="G10" s="331">
        <f t="shared" si="2"/>
        <v>16026247.100111471</v>
      </c>
      <c r="H10" s="331">
        <f t="shared" si="2"/>
        <v>17236633.716703065</v>
      </c>
      <c r="I10" s="331">
        <f t="shared" si="2"/>
        <v>18424061.428008758</v>
      </c>
      <c r="J10" s="457"/>
      <c r="K10" s="406" t="s">
        <v>385</v>
      </c>
      <c r="L10" s="425">
        <f>E6/1000000</f>
        <v>4.625266084987345</v>
      </c>
      <c r="M10" s="410">
        <f>F6/1000000</f>
        <v>0.22994179965365658</v>
      </c>
      <c r="N10" s="410">
        <f>G6/1000000</f>
        <v>0.22994179965365658</v>
      </c>
      <c r="O10" s="410">
        <f>H6/1000000</f>
        <v>0.22994179965365658</v>
      </c>
      <c r="P10" s="410">
        <f>I6/1000000</f>
        <v>0.22994179965365658</v>
      </c>
      <c r="Q10" s="426">
        <f t="shared" si="0"/>
        <v>5.5450332836019705</v>
      </c>
    </row>
    <row r="11" spans="1:17" x14ac:dyDescent="0.3">
      <c r="A11" s="319"/>
      <c r="B11" s="329"/>
      <c r="C11" s="330"/>
      <c r="D11" s="331"/>
      <c r="E11" s="331"/>
      <c r="F11" s="331"/>
      <c r="G11" s="331"/>
      <c r="H11" s="331"/>
      <c r="I11" s="331"/>
      <c r="J11" s="457"/>
      <c r="K11" s="406" t="s">
        <v>384</v>
      </c>
      <c r="L11" s="425">
        <f>ROUND((E7)/1000000,1)</f>
        <v>0</v>
      </c>
      <c r="M11" s="410">
        <f>ROUND((F7)/1000000,1)</f>
        <v>0</v>
      </c>
      <c r="N11" s="410">
        <f>ROUND((G7)/1000000,1)</f>
        <v>0.3</v>
      </c>
      <c r="O11" s="410">
        <f>ROUND((H7)/1000000,1)</f>
        <v>0.3</v>
      </c>
      <c r="P11" s="410">
        <f>ROUND((I7)/1000000,1)</f>
        <v>0.3</v>
      </c>
      <c r="Q11" s="426">
        <f t="shared" si="0"/>
        <v>0.89999999999999991</v>
      </c>
    </row>
    <row r="12" spans="1:17" x14ac:dyDescent="0.3">
      <c r="A12" s="319"/>
      <c r="B12" s="337"/>
      <c r="C12" s="338"/>
      <c r="D12" s="339"/>
      <c r="E12" s="339"/>
      <c r="F12" s="340"/>
      <c r="G12" s="340"/>
      <c r="H12" s="340"/>
      <c r="I12" s="340"/>
      <c r="J12" s="457"/>
      <c r="K12" s="406" t="s">
        <v>388</v>
      </c>
      <c r="L12" s="427">
        <v>0</v>
      </c>
      <c r="M12" s="145">
        <v>0</v>
      </c>
      <c r="N12" s="145">
        <v>0</v>
      </c>
      <c r="O12" s="145">
        <v>0</v>
      </c>
      <c r="P12" s="145">
        <v>0</v>
      </c>
      <c r="Q12" s="426">
        <f t="shared" si="0"/>
        <v>0</v>
      </c>
    </row>
    <row r="13" spans="1:17" x14ac:dyDescent="0.3">
      <c r="A13" s="319"/>
      <c r="B13" s="332"/>
      <c r="C13" s="333"/>
      <c r="D13" s="341"/>
      <c r="E13" s="341"/>
      <c r="F13" s="342"/>
      <c r="G13" s="342"/>
      <c r="H13" s="342"/>
      <c r="I13" s="342"/>
      <c r="J13" s="457"/>
      <c r="K13" s="406"/>
      <c r="L13" s="431">
        <f>SUM(L9:L12)</f>
        <v>17.690044019556989</v>
      </c>
      <c r="M13" s="409">
        <f t="shared" ref="M13:Q13" si="3">SUM(M9:M12)</f>
        <v>13.958049704079459</v>
      </c>
      <c r="N13" s="409">
        <f t="shared" si="3"/>
        <v>16.026247100111473</v>
      </c>
      <c r="O13" s="409">
        <f t="shared" si="3"/>
        <v>17.236633716703068</v>
      </c>
      <c r="P13" s="409">
        <f t="shared" si="3"/>
        <v>18.424061428008759</v>
      </c>
      <c r="Q13" s="428">
        <f t="shared" si="3"/>
        <v>83.335035968459749</v>
      </c>
    </row>
    <row r="14" spans="1:17" x14ac:dyDescent="0.3">
      <c r="A14" s="343" t="s">
        <v>284</v>
      </c>
      <c r="B14" s="381">
        <f t="shared" ref="B14:I14" si="4">SUM(B4:B7)</f>
        <v>45419636.601000153</v>
      </c>
      <c r="C14" s="382">
        <f t="shared" si="4"/>
        <v>39561824.5977166</v>
      </c>
      <c r="D14" s="344">
        <f t="shared" si="4"/>
        <v>35995644.0481176</v>
      </c>
      <c r="E14" s="344">
        <f t="shared" si="4"/>
        <v>17690044.019556992</v>
      </c>
      <c r="F14" s="344">
        <f t="shared" si="4"/>
        <v>13958049.70407946</v>
      </c>
      <c r="G14" s="344">
        <f t="shared" si="4"/>
        <v>16026247.100111471</v>
      </c>
      <c r="H14" s="344">
        <f t="shared" si="4"/>
        <v>17236633.716703065</v>
      </c>
      <c r="I14" s="344">
        <f t="shared" si="4"/>
        <v>18424061.428008758</v>
      </c>
      <c r="J14" s="457"/>
      <c r="K14" s="406"/>
      <c r="L14" s="421"/>
      <c r="M14" s="15"/>
      <c r="N14" s="15"/>
      <c r="O14" s="15"/>
      <c r="P14" s="15"/>
      <c r="Q14" s="58"/>
    </row>
    <row r="15" spans="1:17" ht="15" thickBot="1" x14ac:dyDescent="0.35">
      <c r="A15" s="385" t="s">
        <v>336</v>
      </c>
      <c r="B15" s="345"/>
      <c r="C15" s="346"/>
      <c r="D15" s="383">
        <f t="shared" ref="D15:I15" si="5">SUM(D8:D9)</f>
        <v>40000000</v>
      </c>
      <c r="E15" s="384">
        <f t="shared" si="5"/>
        <v>0</v>
      </c>
      <c r="F15" s="384">
        <f t="shared" si="5"/>
        <v>0</v>
      </c>
      <c r="G15" s="384">
        <f t="shared" si="5"/>
        <v>0</v>
      </c>
      <c r="H15" s="384">
        <f t="shared" si="5"/>
        <v>0</v>
      </c>
      <c r="I15" s="384">
        <f t="shared" si="5"/>
        <v>0</v>
      </c>
      <c r="J15" s="457"/>
      <c r="K15" s="406"/>
      <c r="L15" s="429"/>
      <c r="M15" s="430"/>
      <c r="N15" s="430"/>
      <c r="O15" s="430"/>
      <c r="P15" s="430"/>
      <c r="Q15" s="58"/>
    </row>
    <row r="16" spans="1:17" x14ac:dyDescent="0.3">
      <c r="A16" s="314"/>
      <c r="B16" s="315" t="s">
        <v>275</v>
      </c>
      <c r="C16" s="316" t="s">
        <v>276</v>
      </c>
      <c r="D16" s="317" t="s">
        <v>276</v>
      </c>
      <c r="E16" s="317" t="s">
        <v>276</v>
      </c>
      <c r="F16" s="317" t="s">
        <v>276</v>
      </c>
      <c r="G16" s="317" t="s">
        <v>276</v>
      </c>
      <c r="H16" s="317" t="s">
        <v>276</v>
      </c>
      <c r="I16" s="317" t="s">
        <v>276</v>
      </c>
      <c r="J16" s="457"/>
      <c r="K16" s="406"/>
      <c r="L16" s="421"/>
      <c r="M16" s="15"/>
      <c r="N16" s="15"/>
      <c r="O16" s="15"/>
      <c r="P16" s="15"/>
      <c r="Q16" s="58"/>
    </row>
    <row r="17" spans="1:17" x14ac:dyDescent="0.3">
      <c r="A17" s="319"/>
      <c r="B17" s="320" t="s">
        <v>277</v>
      </c>
      <c r="C17" s="321" t="s">
        <v>277</v>
      </c>
      <c r="D17" s="77" t="s">
        <v>39</v>
      </c>
      <c r="E17" s="77" t="s">
        <v>40</v>
      </c>
      <c r="F17" s="77" t="s">
        <v>41</v>
      </c>
      <c r="G17" s="77" t="s">
        <v>42</v>
      </c>
      <c r="H17" s="77" t="s">
        <v>43</v>
      </c>
      <c r="I17" s="77" t="s">
        <v>44</v>
      </c>
      <c r="J17" s="457"/>
      <c r="K17" s="406"/>
      <c r="L17" s="421"/>
      <c r="M17" s="15"/>
      <c r="N17" s="15"/>
      <c r="O17" s="15"/>
      <c r="P17" s="15"/>
      <c r="Q17" s="58"/>
    </row>
    <row r="18" spans="1:17" x14ac:dyDescent="0.3">
      <c r="A18" s="323" t="s">
        <v>334</v>
      </c>
      <c r="B18" s="347"/>
      <c r="C18" s="348"/>
      <c r="D18" s="349"/>
      <c r="E18" s="349"/>
      <c r="F18" s="349"/>
      <c r="G18" s="349"/>
      <c r="H18" s="350"/>
      <c r="I18" s="336"/>
      <c r="J18" s="457"/>
      <c r="K18" s="406"/>
      <c r="L18" s="421"/>
      <c r="M18" s="15"/>
      <c r="N18" s="15"/>
      <c r="O18" s="15"/>
      <c r="P18" s="15"/>
      <c r="Q18" s="58"/>
    </row>
    <row r="19" spans="1:17" x14ac:dyDescent="0.3">
      <c r="A19" s="404"/>
      <c r="B19" s="347"/>
      <c r="C19" s="348"/>
      <c r="D19" s="349"/>
      <c r="E19" s="401"/>
      <c r="F19" s="349"/>
      <c r="G19" s="349"/>
      <c r="H19" s="350"/>
      <c r="I19" s="336"/>
      <c r="J19" s="457"/>
      <c r="K19" s="437" t="s">
        <v>285</v>
      </c>
      <c r="L19" s="421"/>
      <c r="M19" s="15"/>
      <c r="N19" s="15"/>
      <c r="O19" s="15"/>
      <c r="P19" s="15"/>
      <c r="Q19" s="58"/>
    </row>
    <row r="20" spans="1:17" x14ac:dyDescent="0.3">
      <c r="A20" s="319" t="s">
        <v>286</v>
      </c>
      <c r="B20" s="352">
        <v>4869024.2625563294</v>
      </c>
      <c r="C20" s="353">
        <v>5043859.7065271363</v>
      </c>
      <c r="D20" s="336">
        <f>'Meter Reading'!H27-'Meter Reading'!H22-D21</f>
        <v>3813508.8776896307</v>
      </c>
      <c r="E20" s="336">
        <f>'Meter Reading'!I27-'Meter Reading'!I22-E21</f>
        <v>3069351.1207560282</v>
      </c>
      <c r="F20" s="336"/>
      <c r="G20" s="336"/>
      <c r="H20" s="336"/>
      <c r="I20" s="336"/>
      <c r="J20" s="457"/>
      <c r="K20" s="406"/>
      <c r="L20" s="421"/>
      <c r="M20" s="15"/>
      <c r="N20" s="15"/>
      <c r="O20" s="15"/>
      <c r="P20" s="15"/>
      <c r="Q20" s="58"/>
    </row>
    <row r="21" spans="1:17" x14ac:dyDescent="0.3">
      <c r="A21" s="324" t="s">
        <v>338</v>
      </c>
      <c r="B21" s="354">
        <v>0</v>
      </c>
      <c r="C21" s="355">
        <v>0</v>
      </c>
      <c r="D21" s="356">
        <f>F21</f>
        <v>1414992.0006216753</v>
      </c>
      <c r="E21" s="356">
        <f>F21</f>
        <v>1414992.0006216753</v>
      </c>
      <c r="F21" s="356">
        <f>'Meter Reading'!J19+'Meter Reading'!J20+'Meter Reading'!J23+'Meter Reading'!J24+'Meter Reading'!J25</f>
        <v>1414992.0006216753</v>
      </c>
      <c r="G21" s="356">
        <f>'Meter Reading'!K19+'Meter Reading'!K20+'Meter Reading'!K23+'Meter Reading'!K24+'Meter Reading'!K25</f>
        <v>809432.69351682405</v>
      </c>
      <c r="H21" s="356">
        <f>'Meter Reading'!L19+'Meter Reading'!L20+'Meter Reading'!L23+'Meter Reading'!L24+'Meter Reading'!L25</f>
        <v>766935.46957285167</v>
      </c>
      <c r="I21" s="356">
        <f>'Meter Reading'!M19+'Meter Reading'!M20+'Meter Reading'!M23+'Meter Reading'!M24+'Meter Reading'!M25</f>
        <v>766935.46957285167</v>
      </c>
      <c r="J21" s="457"/>
      <c r="K21" s="406"/>
      <c r="L21" s="422" t="s">
        <v>40</v>
      </c>
      <c r="M21" s="423" t="s">
        <v>41</v>
      </c>
      <c r="N21" s="423" t="s">
        <v>42</v>
      </c>
      <c r="O21" s="423" t="s">
        <v>43</v>
      </c>
      <c r="P21" s="423" t="s">
        <v>44</v>
      </c>
      <c r="Q21" s="424" t="s">
        <v>37</v>
      </c>
    </row>
    <row r="22" spans="1:17" x14ac:dyDescent="0.3">
      <c r="A22" s="324" t="s">
        <v>288</v>
      </c>
      <c r="B22" s="354">
        <v>5010197.1262560003</v>
      </c>
      <c r="C22" s="355">
        <v>5190101.7625270737</v>
      </c>
      <c r="D22" s="357">
        <f>'Meter data management'!B13</f>
        <v>4337230.0552008813</v>
      </c>
      <c r="E22" s="356">
        <f>'Meter data management'!D13</f>
        <v>4238103.617019657</v>
      </c>
      <c r="F22" s="356">
        <f>'Meter data management'!F13</f>
        <v>3441262.4756491282</v>
      </c>
      <c r="G22" s="356">
        <f>'Meter data management'!H13</f>
        <v>3564255.5175505388</v>
      </c>
      <c r="H22" s="356">
        <f>'Meter data management'!J13</f>
        <v>3770587.0663566492</v>
      </c>
      <c r="I22" s="356">
        <f>'Meter data management'!L13</f>
        <v>3860018.7086200137</v>
      </c>
      <c r="J22" s="457"/>
      <c r="K22" s="406" t="s">
        <v>287</v>
      </c>
      <c r="L22" s="425">
        <f t="shared" ref="L22:P23" si="6">ROUND(E21/1000000,1)</f>
        <v>1.4</v>
      </c>
      <c r="M22" s="410">
        <f t="shared" si="6"/>
        <v>1.4</v>
      </c>
      <c r="N22" s="410">
        <f t="shared" si="6"/>
        <v>0.8</v>
      </c>
      <c r="O22" s="410">
        <f t="shared" si="6"/>
        <v>0.8</v>
      </c>
      <c r="P22" s="410">
        <f t="shared" si="6"/>
        <v>0.8</v>
      </c>
      <c r="Q22" s="426">
        <f>SUM(L22:P22)</f>
        <v>5.1999999999999993</v>
      </c>
    </row>
    <row r="23" spans="1:17" x14ac:dyDescent="0.3">
      <c r="A23" s="324" t="s">
        <v>289</v>
      </c>
      <c r="B23" s="354">
        <v>894631.24420934869</v>
      </c>
      <c r="C23" s="355">
        <v>926755.39113018918</v>
      </c>
      <c r="D23" s="356">
        <f>'Meter Reading'!H22+'Meter Asset Management'!C34+'Meter Asset Management'!C35</f>
        <v>2454635.2941176472</v>
      </c>
      <c r="E23" s="356">
        <f>'Meter Reading'!I22+'Meter Asset Management'!D34+'Meter Asset Management'!D35</f>
        <v>2454635.2941176472</v>
      </c>
      <c r="F23" s="356">
        <f>'Meter Reading'!J22+'Meter Asset Management'!E34+'Meter Asset Management'!E35</f>
        <v>2392368.7039808882</v>
      </c>
      <c r="G23" s="356">
        <f>'Meter Reading'!K22+'Meter Asset Management'!F34+'Meter Asset Management'!F35</f>
        <v>2185796.3423856073</v>
      </c>
      <c r="H23" s="356">
        <f>'Meter Reading'!L22+'Meter Asset Management'!G34+'Meter Asset Management'!G35</f>
        <v>2329201.9487823313</v>
      </c>
      <c r="I23" s="356">
        <f>'Meter Reading'!M22+'Meter Asset Management'!H34+'Meter Asset Management'!H35</f>
        <v>2457242.6687794058</v>
      </c>
      <c r="J23" s="457"/>
      <c r="K23" s="406" t="s">
        <v>288</v>
      </c>
      <c r="L23" s="425">
        <f t="shared" si="6"/>
        <v>4.2</v>
      </c>
      <c r="M23" s="410">
        <f t="shared" si="6"/>
        <v>3.4</v>
      </c>
      <c r="N23" s="410">
        <f t="shared" si="6"/>
        <v>3.6</v>
      </c>
      <c r="O23" s="410">
        <f t="shared" si="6"/>
        <v>3.8</v>
      </c>
      <c r="P23" s="410">
        <f t="shared" si="6"/>
        <v>3.9</v>
      </c>
      <c r="Q23" s="426">
        <f t="shared" ref="Q23:Q26" si="7">SUM(L23:P23)</f>
        <v>18.899999999999999</v>
      </c>
    </row>
    <row r="24" spans="1:17" x14ac:dyDescent="0.3">
      <c r="A24" s="324"/>
      <c r="B24" s="354"/>
      <c r="C24" s="355"/>
      <c r="D24" s="356"/>
      <c r="E24" s="356"/>
      <c r="F24" s="356"/>
      <c r="G24" s="356"/>
      <c r="H24" s="356"/>
      <c r="I24" s="356"/>
      <c r="J24" s="457"/>
      <c r="K24" s="406" t="s">
        <v>289</v>
      </c>
      <c r="L24" s="425">
        <f>ROUND((E23+E24)/1000000,1)</f>
        <v>2.5</v>
      </c>
      <c r="M24" s="410">
        <f>ROUND((F23+F24)/1000000,1)</f>
        <v>2.4</v>
      </c>
      <c r="N24" s="410">
        <f>ROUND((G23+G24)/1000000,1)</f>
        <v>2.2000000000000002</v>
      </c>
      <c r="O24" s="410">
        <f>ROUND((H23+H24)/1000000,1)</f>
        <v>2.2999999999999998</v>
      </c>
      <c r="P24" s="410">
        <f>ROUND((I23+I24)/1000000,1)</f>
        <v>2.5</v>
      </c>
      <c r="Q24" s="426">
        <f t="shared" si="7"/>
        <v>11.9</v>
      </c>
    </row>
    <row r="25" spans="1:17" x14ac:dyDescent="0.3">
      <c r="A25" s="86" t="s">
        <v>231</v>
      </c>
      <c r="B25" s="354">
        <v>0</v>
      </c>
      <c r="C25" s="355">
        <v>0</v>
      </c>
      <c r="D25" s="356">
        <f>'IT &amp; Comms opex revised'!E63</f>
        <v>572425</v>
      </c>
      <c r="E25" s="356">
        <f>'IT &amp; Comms opex revised'!F63</f>
        <v>572425</v>
      </c>
      <c r="F25" s="356">
        <f>'IT &amp; Comms opex revised'!G63</f>
        <v>672425</v>
      </c>
      <c r="G25" s="356">
        <f>'IT &amp; Comms opex revised'!H63</f>
        <v>672425</v>
      </c>
      <c r="H25" s="356">
        <f>'IT &amp; Comms opex revised'!I63</f>
        <v>672425</v>
      </c>
      <c r="I25" s="356">
        <f>'IT &amp; Comms opex revised'!J63</f>
        <v>672425</v>
      </c>
      <c r="J25" s="457"/>
      <c r="K25" s="406" t="s">
        <v>290</v>
      </c>
      <c r="L25" s="425">
        <f>ROUND(E28/1000000,1)</f>
        <v>0.3</v>
      </c>
      <c r="M25" s="410">
        <f>ROUND(F28/1000000,1)</f>
        <v>0.3</v>
      </c>
      <c r="N25" s="410">
        <f>ROUND(G28/1000000,1)</f>
        <v>0.3</v>
      </c>
      <c r="O25" s="410">
        <f>ROUND(H28/1000000,1)</f>
        <v>0.3</v>
      </c>
      <c r="P25" s="410">
        <f>ROUND(I28/1000000,1)</f>
        <v>0.3</v>
      </c>
      <c r="Q25" s="426">
        <f t="shared" si="7"/>
        <v>1.5</v>
      </c>
    </row>
    <row r="26" spans="1:17" x14ac:dyDescent="0.3">
      <c r="A26" s="86" t="s">
        <v>292</v>
      </c>
      <c r="B26" s="354">
        <v>924325.17871355033</v>
      </c>
      <c r="C26" s="355">
        <v>957515.56641330954</v>
      </c>
      <c r="D26" s="356">
        <f>'IT &amp; Comms opex revised'!E62</f>
        <v>1787421.9999999993</v>
      </c>
      <c r="E26" s="356">
        <f>'IT &amp; Comms opex revised'!F62</f>
        <v>1787421.9999999993</v>
      </c>
      <c r="F26" s="356">
        <f>'IT &amp; Comms opex revised'!G62</f>
        <v>1787421.9999999993</v>
      </c>
      <c r="G26" s="356">
        <f>'IT &amp; Comms opex revised'!H62</f>
        <v>1787421.9999999993</v>
      </c>
      <c r="H26" s="356">
        <f>'IT &amp; Comms opex revised'!I62</f>
        <v>1787421.9999999993</v>
      </c>
      <c r="I26" s="356">
        <f>'IT &amp; Comms opex revised'!J62</f>
        <v>1787421.9999999993</v>
      </c>
      <c r="J26" s="457"/>
      <c r="K26" s="406" t="s">
        <v>291</v>
      </c>
      <c r="L26" s="425">
        <f>ROUND((E25+E26+E29)/1000000,1)</f>
        <v>3.4</v>
      </c>
      <c r="M26" s="410">
        <f>ROUND((F25+F26+F29)/1000000,1)</f>
        <v>3.5</v>
      </c>
      <c r="N26" s="410">
        <f>ROUND((G25+G26+G29)/1000000,1)</f>
        <v>3.5</v>
      </c>
      <c r="O26" s="410">
        <f>ROUND((H25+H26+H29)/1000000,1)</f>
        <v>3.5</v>
      </c>
      <c r="P26" s="410">
        <f>ROUND((I25+I26+I29)/1000000,1)</f>
        <v>3.5</v>
      </c>
      <c r="Q26" s="426">
        <f t="shared" si="7"/>
        <v>17.399999999999999</v>
      </c>
    </row>
    <row r="27" spans="1:17" x14ac:dyDescent="0.3">
      <c r="A27" s="319" t="s">
        <v>87</v>
      </c>
      <c r="B27" s="352">
        <v>14923693.142535023</v>
      </c>
      <c r="C27" s="353">
        <v>15459568.581958141</v>
      </c>
      <c r="D27" s="336">
        <f>'IT &amp; Comms opex revised'!E64</f>
        <v>11528108.499999998</v>
      </c>
      <c r="E27" s="336">
        <f>'IT &amp; Comms opex revised'!F64</f>
        <v>11141638.019806679</v>
      </c>
      <c r="F27" s="336">
        <f>'IT &amp; Comms opex revised'!G64</f>
        <v>11070151.918281173</v>
      </c>
      <c r="G27" s="336">
        <f>'IT &amp; Comms opex revised'!H64</f>
        <v>11142297.467080159</v>
      </c>
      <c r="H27" s="336">
        <f>'IT &amp; Comms opex revised'!I64</f>
        <v>11143102.251561038</v>
      </c>
      <c r="I27" s="336">
        <f>'IT &amp; Comms opex revised'!J64</f>
        <v>11105843.698043874</v>
      </c>
      <c r="J27" s="457"/>
      <c r="K27" s="406"/>
      <c r="L27" s="421"/>
      <c r="M27" s="15"/>
      <c r="N27" s="15"/>
      <c r="O27" s="15"/>
      <c r="P27" s="15"/>
      <c r="Q27" s="58"/>
    </row>
    <row r="28" spans="1:17" x14ac:dyDescent="0.3">
      <c r="A28" s="324" t="s">
        <v>293</v>
      </c>
      <c r="B28" s="354">
        <v>296875.60886605846</v>
      </c>
      <c r="C28" s="355">
        <v>307535.72803600284</v>
      </c>
      <c r="D28" s="356">
        <f t="shared" ref="D28:I28" si="8">C28</f>
        <v>307535.72803600284</v>
      </c>
      <c r="E28" s="356">
        <f t="shared" si="8"/>
        <v>307535.72803600284</v>
      </c>
      <c r="F28" s="356">
        <f t="shared" si="8"/>
        <v>307535.72803600284</v>
      </c>
      <c r="G28" s="356">
        <f t="shared" si="8"/>
        <v>307535.72803600284</v>
      </c>
      <c r="H28" s="356">
        <f t="shared" si="8"/>
        <v>307535.72803600284</v>
      </c>
      <c r="I28" s="356">
        <f t="shared" si="8"/>
        <v>307535.72803600284</v>
      </c>
      <c r="J28" s="457"/>
      <c r="K28" s="406"/>
      <c r="L28" s="431">
        <f t="shared" ref="L28:Q28" si="9">SUM(L22:L26)</f>
        <v>11.8</v>
      </c>
      <c r="M28" s="312">
        <f t="shared" si="9"/>
        <v>11</v>
      </c>
      <c r="N28" s="312">
        <f t="shared" si="9"/>
        <v>10.4</v>
      </c>
      <c r="O28" s="312">
        <f t="shared" si="9"/>
        <v>10.7</v>
      </c>
      <c r="P28" s="312">
        <f t="shared" si="9"/>
        <v>11</v>
      </c>
      <c r="Q28" s="432">
        <f t="shared" si="9"/>
        <v>54.9</v>
      </c>
    </row>
    <row r="29" spans="1:17" x14ac:dyDescent="0.3">
      <c r="A29" s="324" t="s">
        <v>294</v>
      </c>
      <c r="B29" s="354">
        <v>0</v>
      </c>
      <c r="C29" s="355">
        <v>0</v>
      </c>
      <c r="D29" s="356">
        <f>'IT &amp; Comms opex revised'!E67</f>
        <v>992000</v>
      </c>
      <c r="E29" s="356">
        <f>'IT &amp; Comms opex revised'!F67</f>
        <v>992000</v>
      </c>
      <c r="F29" s="356">
        <f>'IT &amp; Comms opex revised'!G67</f>
        <v>992000</v>
      </c>
      <c r="G29" s="356">
        <f>'IT &amp; Comms opex revised'!H67</f>
        <v>992000</v>
      </c>
      <c r="H29" s="356">
        <f>'IT &amp; Comms opex revised'!I67</f>
        <v>992000</v>
      </c>
      <c r="I29" s="356">
        <f>'IT &amp; Comms opex revised'!J67</f>
        <v>992000</v>
      </c>
      <c r="J29" s="457"/>
      <c r="K29" s="406"/>
      <c r="L29" s="421"/>
      <c r="M29" s="15"/>
      <c r="N29" s="15"/>
      <c r="O29" s="15"/>
      <c r="P29" s="15"/>
      <c r="Q29" s="58"/>
    </row>
    <row r="30" spans="1:17" x14ac:dyDescent="0.3">
      <c r="A30" s="319" t="s">
        <v>88</v>
      </c>
      <c r="B30" s="352">
        <v>0</v>
      </c>
      <c r="C30" s="353">
        <v>0</v>
      </c>
      <c r="D30" s="336">
        <f>'IT &amp; Comms opex revised'!E68</f>
        <v>6374789</v>
      </c>
      <c r="E30" s="336">
        <f>'IT &amp; Comms opex revised'!F68</f>
        <v>6846086.1999999993</v>
      </c>
      <c r="F30" s="336">
        <f>'IT &amp; Comms opex revised'!G68</f>
        <v>6975062.3999999994</v>
      </c>
      <c r="G30" s="336">
        <f>'IT &amp; Comms opex revised'!H68</f>
        <v>6780462.3999999994</v>
      </c>
      <c r="H30" s="336">
        <f>'IT &amp; Comms opex revised'!I68</f>
        <v>6185424.3999999994</v>
      </c>
      <c r="I30" s="336">
        <f>'IT &amp; Comms opex revised'!J68</f>
        <v>6006626.3999999994</v>
      </c>
      <c r="J30" s="457"/>
      <c r="K30" s="458" t="s">
        <v>386</v>
      </c>
      <c r="L30" s="421"/>
      <c r="M30" s="15"/>
      <c r="N30" s="15"/>
      <c r="O30" s="15"/>
      <c r="P30" s="15"/>
      <c r="Q30" s="58"/>
    </row>
    <row r="31" spans="1:17" x14ac:dyDescent="0.3">
      <c r="A31" s="319" t="s">
        <v>295</v>
      </c>
      <c r="B31" s="352">
        <v>8441354.2939397804</v>
      </c>
      <c r="C31" s="353">
        <v>8744463.8793746643</v>
      </c>
      <c r="D31" s="336"/>
      <c r="E31" s="336"/>
      <c r="F31" s="336"/>
      <c r="G31" s="336"/>
      <c r="H31" s="336"/>
      <c r="I31" s="336"/>
      <c r="J31" s="457"/>
      <c r="K31" s="406" t="s">
        <v>291</v>
      </c>
      <c r="L31" s="425">
        <f>ROUND((E27+E30)/1000000,1)</f>
        <v>18</v>
      </c>
      <c r="M31" s="410">
        <f>ROUND((F27+F30)/1000000,1)</f>
        <v>18</v>
      </c>
      <c r="N31" s="410">
        <f>ROUND((G27+G30)/1000000,1)</f>
        <v>17.899999999999999</v>
      </c>
      <c r="O31" s="410">
        <f>ROUND((H27+H30)/1000000,1)</f>
        <v>17.3</v>
      </c>
      <c r="P31" s="410">
        <f>ROUND((I27+I30)/1000000,1)</f>
        <v>17.100000000000001</v>
      </c>
      <c r="Q31" s="426">
        <f t="shared" ref="Q31:Q32" si="10">SUM(L31:P31)</f>
        <v>88.300000000000011</v>
      </c>
    </row>
    <row r="32" spans="1:17" x14ac:dyDescent="0.3">
      <c r="A32" s="319" t="s">
        <v>90</v>
      </c>
      <c r="B32" s="352">
        <v>2508764.5397629491</v>
      </c>
      <c r="C32" s="353">
        <v>2598848.4946737401</v>
      </c>
      <c r="D32" s="336">
        <v>2641297</v>
      </c>
      <c r="E32" s="336">
        <v>2681037</v>
      </c>
      <c r="F32" s="336">
        <v>2706775</v>
      </c>
      <c r="G32" s="336">
        <v>2735196</v>
      </c>
      <c r="H32" s="336">
        <v>2763095</v>
      </c>
      <c r="I32" s="336">
        <v>2789898</v>
      </c>
      <c r="J32" s="457"/>
      <c r="K32" s="406" t="s">
        <v>90</v>
      </c>
      <c r="L32" s="425">
        <f>E32/10^6</f>
        <v>2.6810369999999999</v>
      </c>
      <c r="M32" s="410">
        <f>F32/10^6</f>
        <v>2.7067749999999999</v>
      </c>
      <c r="N32" s="410">
        <f>G32/10^6</f>
        <v>2.7351960000000002</v>
      </c>
      <c r="O32" s="410">
        <f>H32/10^6</f>
        <v>2.7630949999999999</v>
      </c>
      <c r="P32" s="410">
        <f>I32/10^6</f>
        <v>2.789898</v>
      </c>
      <c r="Q32" s="426">
        <f t="shared" si="10"/>
        <v>13.676000999999999</v>
      </c>
    </row>
    <row r="33" spans="1:17" x14ac:dyDescent="0.3">
      <c r="A33" s="319" t="s">
        <v>296</v>
      </c>
      <c r="B33" s="352">
        <v>468931.06999999995</v>
      </c>
      <c r="C33" s="353">
        <v>485769.30439649714</v>
      </c>
      <c r="D33" s="336">
        <v>0</v>
      </c>
      <c r="E33" s="336">
        <v>0</v>
      </c>
      <c r="F33" s="336">
        <v>0</v>
      </c>
      <c r="G33" s="336">
        <v>0</v>
      </c>
      <c r="H33" s="336">
        <v>0</v>
      </c>
      <c r="I33" s="336">
        <v>0</v>
      </c>
      <c r="J33" s="457"/>
      <c r="K33" s="406"/>
      <c r="L33" s="421"/>
      <c r="M33" s="15"/>
      <c r="N33" s="15"/>
      <c r="O33" s="15"/>
      <c r="P33" s="15"/>
      <c r="Q33" s="58"/>
    </row>
    <row r="34" spans="1:17" x14ac:dyDescent="0.3">
      <c r="A34" s="319" t="s">
        <v>133</v>
      </c>
      <c r="B34" s="352">
        <v>8475674.9403986651</v>
      </c>
      <c r="C34" s="353">
        <v>8780016.901179703</v>
      </c>
      <c r="D34" s="336">
        <v>0</v>
      </c>
      <c r="E34" s="336">
        <v>0</v>
      </c>
      <c r="F34" s="336">
        <v>0</v>
      </c>
      <c r="G34" s="336">
        <v>0</v>
      </c>
      <c r="H34" s="336">
        <v>0</v>
      </c>
      <c r="I34" s="351">
        <v>0</v>
      </c>
      <c r="K34" s="406"/>
      <c r="L34" s="433">
        <f>SUM(L28:L33)</f>
        <v>32.481037000000001</v>
      </c>
      <c r="M34" s="415">
        <f t="shared" ref="M34:Q34" si="11">SUM(M28:M33)</f>
        <v>31.706775</v>
      </c>
      <c r="N34" s="415">
        <f t="shared" si="11"/>
        <v>31.035195999999999</v>
      </c>
      <c r="O34" s="415">
        <f t="shared" si="11"/>
        <v>30.763095</v>
      </c>
      <c r="P34" s="415">
        <f t="shared" si="11"/>
        <v>30.889898000000002</v>
      </c>
      <c r="Q34" s="434">
        <f t="shared" si="11"/>
        <v>156.87600100000003</v>
      </c>
    </row>
    <row r="35" spans="1:17" x14ac:dyDescent="0.3">
      <c r="A35" s="319"/>
      <c r="B35" s="352"/>
      <c r="C35" s="353"/>
      <c r="D35" s="336"/>
      <c r="E35" s="336"/>
      <c r="F35" s="336"/>
      <c r="G35" s="336"/>
      <c r="H35" s="336"/>
      <c r="I35" s="351"/>
      <c r="K35" s="408"/>
      <c r="L35" s="435"/>
      <c r="M35" s="67"/>
      <c r="N35" s="67"/>
      <c r="O35" s="67"/>
      <c r="P35" s="67"/>
      <c r="Q35" s="217"/>
    </row>
    <row r="36" spans="1:17" x14ac:dyDescent="0.3">
      <c r="A36" s="335"/>
      <c r="B36" s="347"/>
      <c r="C36" s="348"/>
      <c r="D36" s="78"/>
      <c r="E36" s="78"/>
      <c r="F36" s="78"/>
      <c r="G36" s="78"/>
      <c r="H36" s="78"/>
      <c r="I36" s="358"/>
    </row>
    <row r="37" spans="1:17" x14ac:dyDescent="0.3">
      <c r="A37" s="319"/>
      <c r="B37" s="347"/>
      <c r="C37" s="348"/>
      <c r="D37" s="336"/>
      <c r="E37" s="336"/>
      <c r="F37" s="78"/>
      <c r="G37" s="78"/>
      <c r="H37" s="78"/>
      <c r="I37" s="358"/>
    </row>
    <row r="38" spans="1:17" x14ac:dyDescent="0.3">
      <c r="A38" s="343" t="s">
        <v>297</v>
      </c>
      <c r="B38" s="359">
        <f>SUM(B20:B37)</f>
        <v>46813471.407237709</v>
      </c>
      <c r="C38" s="360">
        <f t="shared" ref="C38:I38" si="12">SUM(C20:C37)</f>
        <v>48494435.316216454</v>
      </c>
      <c r="D38" s="361">
        <f t="shared" si="12"/>
        <v>36223943.455665834</v>
      </c>
      <c r="E38" s="361">
        <f t="shared" si="12"/>
        <v>35505225.980357692</v>
      </c>
      <c r="F38" s="361">
        <f t="shared" si="12"/>
        <v>31759995.226568863</v>
      </c>
      <c r="G38" s="361">
        <f t="shared" si="12"/>
        <v>30976823.148569129</v>
      </c>
      <c r="H38" s="361">
        <f t="shared" si="12"/>
        <v>30717728.864308871</v>
      </c>
      <c r="I38" s="362">
        <f t="shared" si="12"/>
        <v>30745947.673052143</v>
      </c>
    </row>
    <row r="39" spans="1:17" x14ac:dyDescent="0.3">
      <c r="A39" s="343" t="s">
        <v>335</v>
      </c>
      <c r="B39" s="363">
        <f>SUM(B21:B26,B28:B29)</f>
        <v>7126029.1580449585</v>
      </c>
      <c r="C39" s="364">
        <f t="shared" ref="C39:I39" si="13">SUM(C21:C26,C28:C29)</f>
        <v>7381908.4481065758</v>
      </c>
      <c r="D39" s="365">
        <f t="shared" si="13"/>
        <v>11866240.077976206</v>
      </c>
      <c r="E39" s="365">
        <f t="shared" si="13"/>
        <v>11767113.639794983</v>
      </c>
      <c r="F39" s="365">
        <f t="shared" si="13"/>
        <v>11008005.908287695</v>
      </c>
      <c r="G39" s="365">
        <f t="shared" si="13"/>
        <v>10318867.281488974</v>
      </c>
      <c r="H39" s="365">
        <f t="shared" si="13"/>
        <v>10626107.212747835</v>
      </c>
      <c r="I39" s="366">
        <f t="shared" si="13"/>
        <v>10843579.575008273</v>
      </c>
    </row>
    <row r="40" spans="1:17" ht="15" thickBot="1" x14ac:dyDescent="0.35">
      <c r="A40" s="385" t="s">
        <v>337</v>
      </c>
      <c r="B40" s="367"/>
      <c r="C40" s="368"/>
      <c r="D40" s="386">
        <f>SUM(D27,D30:D34)</f>
        <v>20544194.5</v>
      </c>
      <c r="E40" s="387">
        <f t="shared" ref="E40:I40" si="14">SUM(E27,E30:E34)</f>
        <v>20668761.219806679</v>
      </c>
      <c r="F40" s="387">
        <f t="shared" si="14"/>
        <v>20751989.318281174</v>
      </c>
      <c r="G40" s="387">
        <f t="shared" si="14"/>
        <v>20657955.867080159</v>
      </c>
      <c r="H40" s="387">
        <f t="shared" si="14"/>
        <v>20091621.651561037</v>
      </c>
      <c r="I40" s="388">
        <f t="shared" si="14"/>
        <v>19902368.098043874</v>
      </c>
    </row>
    <row r="44" spans="1:17" x14ac:dyDescent="0.3">
      <c r="A44" s="34" t="s">
        <v>299</v>
      </c>
    </row>
    <row r="45" spans="1:17" x14ac:dyDescent="0.3">
      <c r="A45" t="s">
        <v>332</v>
      </c>
    </row>
    <row r="49" spans="1:1" x14ac:dyDescent="0.3">
      <c r="A49" s="5" t="s">
        <v>234</v>
      </c>
    </row>
    <row r="50" spans="1:1" x14ac:dyDescent="0.3">
      <c r="A50" t="s">
        <v>333</v>
      </c>
    </row>
  </sheetData>
  <printOptions gridLines="1"/>
  <pageMargins left="0.23622047244094491" right="0.23622047244094491" top="0.74803149606299213" bottom="0.74803149606299213" header="0.31496062992125984" footer="0.31496062992125984"/>
  <pageSetup paperSize="8" scale="36" orientation="landscape" r:id="rId1"/>
  <ignoredErrors>
    <ignoredError sqref="B14:C14"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7"/>
  <sheetViews>
    <sheetView workbookViewId="0">
      <selection activeCell="D116" sqref="D116"/>
    </sheetView>
  </sheetViews>
  <sheetFormatPr defaultRowHeight="14.4" x14ac:dyDescent="0.3"/>
  <cols>
    <col min="1" max="1" width="27.21875" customWidth="1"/>
    <col min="2" max="2" width="36.21875" customWidth="1"/>
    <col min="3" max="3" width="17.109375" customWidth="1"/>
    <col min="4" max="4" width="13.88671875" style="9" bestFit="1" customWidth="1"/>
    <col min="5" max="5" width="14.77734375" style="9" bestFit="1" customWidth="1"/>
    <col min="6" max="7" width="13.88671875" style="9" bestFit="1" customWidth="1"/>
    <col min="8" max="8" width="11.33203125" style="9" bestFit="1" customWidth="1"/>
    <col min="9" max="9" width="12.77734375" style="9" bestFit="1" customWidth="1"/>
    <col min="10" max="10" width="11.21875" bestFit="1" customWidth="1"/>
    <col min="11" max="13" width="12.5546875" bestFit="1" customWidth="1"/>
    <col min="15" max="19" width="10.44140625" bestFit="1" customWidth="1"/>
  </cols>
  <sheetData>
    <row r="1" spans="1:14" x14ac:dyDescent="0.3">
      <c r="A1" s="5"/>
      <c r="J1" s="7"/>
    </row>
    <row r="2" spans="1:14" ht="15" thickBot="1" x14ac:dyDescent="0.35">
      <c r="A2" t="s">
        <v>276</v>
      </c>
    </row>
    <row r="3" spans="1:14" x14ac:dyDescent="0.3">
      <c r="A3" s="10" t="s">
        <v>421</v>
      </c>
      <c r="B3" s="11"/>
      <c r="C3" s="11"/>
      <c r="D3" s="12" t="s">
        <v>39</v>
      </c>
      <c r="E3" s="12" t="s">
        <v>40</v>
      </c>
      <c r="F3" s="12" t="s">
        <v>41</v>
      </c>
      <c r="G3" s="12" t="s">
        <v>42</v>
      </c>
      <c r="H3" s="12" t="s">
        <v>43</v>
      </c>
      <c r="I3" s="13" t="s">
        <v>44</v>
      </c>
      <c r="K3" s="280" t="s">
        <v>234</v>
      </c>
    </row>
    <row r="4" spans="1:14" x14ac:dyDescent="0.3">
      <c r="A4" s="14" t="s">
        <v>409</v>
      </c>
      <c r="B4" s="15"/>
      <c r="C4" s="15"/>
      <c r="D4" s="16"/>
      <c r="E4" s="16"/>
      <c r="F4" s="16"/>
      <c r="G4" s="16"/>
      <c r="H4" s="16"/>
      <c r="I4" s="17"/>
    </row>
    <row r="5" spans="1:14" x14ac:dyDescent="0.3">
      <c r="A5" s="18"/>
      <c r="B5" s="15" t="s">
        <v>49</v>
      </c>
      <c r="C5" s="15"/>
      <c r="D5" s="4">
        <v>29541.999999999996</v>
      </c>
      <c r="E5" s="4"/>
      <c r="F5" s="4"/>
      <c r="G5" s="4"/>
      <c r="H5" s="4"/>
      <c r="I5" s="20"/>
    </row>
    <row r="6" spans="1:14" x14ac:dyDescent="0.3">
      <c r="A6" s="18"/>
      <c r="B6" s="15" t="s">
        <v>413</v>
      </c>
      <c r="C6" s="15"/>
      <c r="D6" s="21">
        <f>(53.83+3.57)/$N$7</f>
        <v>76.461968829092839</v>
      </c>
      <c r="E6" s="21"/>
      <c r="F6" s="21"/>
      <c r="G6" s="21"/>
      <c r="H6" s="21"/>
      <c r="I6" s="22"/>
    </row>
    <row r="7" spans="1:14" x14ac:dyDescent="0.3">
      <c r="A7" s="18"/>
      <c r="B7" s="15"/>
      <c r="C7" s="15"/>
      <c r="D7" s="3">
        <f>D5*D6</f>
        <v>2258839.4831490605</v>
      </c>
      <c r="E7" s="3"/>
      <c r="F7" s="3"/>
      <c r="G7" s="3"/>
      <c r="H7" s="3"/>
      <c r="I7" s="23"/>
      <c r="K7" t="s">
        <v>77</v>
      </c>
      <c r="N7">
        <v>0.75070000000000003</v>
      </c>
    </row>
    <row r="8" spans="1:14" x14ac:dyDescent="0.3">
      <c r="A8" s="14" t="s">
        <v>410</v>
      </c>
      <c r="B8" s="15"/>
      <c r="C8" s="15"/>
      <c r="D8" s="16"/>
      <c r="E8" s="16"/>
      <c r="F8" s="16"/>
      <c r="G8" s="16"/>
      <c r="H8" s="16"/>
      <c r="I8" s="17"/>
    </row>
    <row r="9" spans="1:14" x14ac:dyDescent="0.3">
      <c r="A9" s="18"/>
      <c r="B9" s="15" t="s">
        <v>49</v>
      </c>
      <c r="C9" s="15"/>
      <c r="D9" s="4">
        <v>74866.666666666672</v>
      </c>
      <c r="E9" s="4"/>
      <c r="F9" s="4"/>
      <c r="G9" s="4"/>
      <c r="H9" s="4"/>
      <c r="I9" s="20"/>
      <c r="K9" t="s">
        <v>235</v>
      </c>
    </row>
    <row r="10" spans="1:14" x14ac:dyDescent="0.3">
      <c r="A10" s="18"/>
      <c r="B10" s="15" t="s">
        <v>413</v>
      </c>
      <c r="C10" s="15"/>
      <c r="D10" s="21">
        <f t="shared" ref="D10" si="0">(53.83+3.57)/$N$7</f>
        <v>76.461968829092839</v>
      </c>
      <c r="E10" s="21"/>
      <c r="F10" s="21"/>
      <c r="G10" s="21"/>
      <c r="H10" s="21"/>
      <c r="I10" s="22"/>
    </row>
    <row r="11" spans="1:14" x14ac:dyDescent="0.3">
      <c r="A11" s="18"/>
      <c r="B11" s="15"/>
      <c r="C11" s="15"/>
      <c r="D11" s="3">
        <f>D9*D10</f>
        <v>5724452.7330047507</v>
      </c>
      <c r="E11" s="3"/>
      <c r="F11" s="3"/>
      <c r="G11" s="3"/>
      <c r="H11" s="3"/>
      <c r="I11" s="23"/>
    </row>
    <row r="12" spans="1:14" x14ac:dyDescent="0.3">
      <c r="A12" s="14" t="s">
        <v>411</v>
      </c>
      <c r="B12" s="15"/>
      <c r="C12" s="15"/>
      <c r="D12" s="16"/>
      <c r="E12" s="16"/>
      <c r="F12" s="16"/>
      <c r="G12" s="16"/>
      <c r="H12" s="16"/>
      <c r="I12" s="17"/>
    </row>
    <row r="13" spans="1:14" x14ac:dyDescent="0.3">
      <c r="A13" s="18"/>
      <c r="B13" s="15" t="s">
        <v>49</v>
      </c>
      <c r="C13" s="15"/>
      <c r="D13" s="4">
        <v>45232.666666666672</v>
      </c>
      <c r="E13" s="4"/>
      <c r="F13" s="4"/>
      <c r="G13" s="4"/>
      <c r="H13" s="16"/>
      <c r="I13" s="20"/>
      <c r="K13">
        <f>222394*2</f>
        <v>444788</v>
      </c>
    </row>
    <row r="14" spans="1:14" x14ac:dyDescent="0.3">
      <c r="A14" s="18"/>
      <c r="B14" s="15" t="s">
        <v>413</v>
      </c>
      <c r="C14" s="15"/>
      <c r="D14" s="21">
        <f t="shared" ref="D14" si="1">(53.83+3.57)/$N$7</f>
        <v>76.461968829092839</v>
      </c>
      <c r="E14" s="21"/>
      <c r="F14" s="21"/>
      <c r="G14" s="21"/>
      <c r="H14" s="21"/>
      <c r="I14" s="22"/>
    </row>
    <row r="15" spans="1:14" x14ac:dyDescent="0.3">
      <c r="A15" s="18"/>
      <c r="B15" s="15"/>
      <c r="C15" s="15"/>
      <c r="D15" s="3">
        <f>D13*D14</f>
        <v>3458578.7487234138</v>
      </c>
      <c r="E15" s="3"/>
      <c r="F15" s="3"/>
      <c r="G15" s="3"/>
      <c r="H15" s="3"/>
      <c r="I15" s="23"/>
    </row>
    <row r="16" spans="1:14" x14ac:dyDescent="0.3">
      <c r="A16" s="18"/>
      <c r="B16" s="15"/>
      <c r="C16" s="15"/>
      <c r="D16" s="4"/>
      <c r="E16" s="4"/>
      <c r="F16" s="4"/>
      <c r="G16" s="4"/>
      <c r="H16" s="4"/>
      <c r="I16" s="20"/>
    </row>
    <row r="17" spans="1:11" x14ac:dyDescent="0.3">
      <c r="A17" s="14" t="s">
        <v>422</v>
      </c>
      <c r="B17" s="15"/>
      <c r="C17" s="15"/>
      <c r="D17" s="4"/>
      <c r="E17" s="4"/>
      <c r="F17" s="4"/>
      <c r="G17" s="4"/>
      <c r="H17" s="4"/>
      <c r="I17" s="20"/>
    </row>
    <row r="18" spans="1:11" x14ac:dyDescent="0.3">
      <c r="A18" s="18"/>
      <c r="B18" s="15" t="s">
        <v>49</v>
      </c>
      <c r="C18" s="15"/>
      <c r="D18" s="4">
        <f>SUM(D82,D86,D91,D96)</f>
        <v>16701.035974432067</v>
      </c>
      <c r="E18" s="4">
        <f t="shared" ref="E18:I18" si="2">SUM(E82,E86,E91,E96)</f>
        <v>17087.825237314493</v>
      </c>
      <c r="F18" s="4">
        <f t="shared" si="2"/>
        <v>16826.11505261323</v>
      </c>
      <c r="G18" s="4">
        <f t="shared" si="2"/>
        <v>17240.389890255174</v>
      </c>
      <c r="H18" s="4">
        <f t="shared" si="2"/>
        <v>16367.325813170755</v>
      </c>
      <c r="I18" s="20">
        <f t="shared" si="2"/>
        <v>16268.831354402158</v>
      </c>
      <c r="K18" t="s">
        <v>412</v>
      </c>
    </row>
    <row r="19" spans="1:11" x14ac:dyDescent="0.3">
      <c r="A19" s="18"/>
      <c r="B19" s="15" t="s">
        <v>413</v>
      </c>
      <c r="C19" s="15"/>
      <c r="D19" s="21">
        <f t="shared" ref="D19:I19" si="3">(53.83+3.57)/$N$7</f>
        <v>76.461968829092839</v>
      </c>
      <c r="E19" s="21">
        <f t="shared" si="3"/>
        <v>76.461968829092839</v>
      </c>
      <c r="F19" s="21">
        <f t="shared" si="3"/>
        <v>76.461968829092839</v>
      </c>
      <c r="G19" s="21">
        <f t="shared" si="3"/>
        <v>76.461968829092839</v>
      </c>
      <c r="H19" s="21">
        <f t="shared" si="3"/>
        <v>76.461968829092839</v>
      </c>
      <c r="I19" s="22">
        <f t="shared" si="3"/>
        <v>76.461968829092839</v>
      </c>
    </row>
    <row r="20" spans="1:11" x14ac:dyDescent="0.3">
      <c r="A20" s="18"/>
      <c r="B20" s="15"/>
      <c r="C20" s="15"/>
      <c r="D20" s="3">
        <f>D18*D19</f>
        <v>1276994.0920905829</v>
      </c>
      <c r="E20" s="3">
        <f t="shared" ref="E20" si="4">E18*E19</f>
        <v>1306568.7606525267</v>
      </c>
      <c r="F20" s="3">
        <f t="shared" ref="F20" si="5">F18*F19</f>
        <v>1286557.8846676426</v>
      </c>
      <c r="G20" s="3">
        <f t="shared" ref="G20" si="6">G18*G19</f>
        <v>1318234.1543900983</v>
      </c>
      <c r="H20" s="3">
        <f t="shared" ref="H20" si="7">H18*H19</f>
        <v>1251477.9561422688</v>
      </c>
      <c r="I20" s="23">
        <f t="shared" ref="I20" si="8">I18*I19</f>
        <v>1243946.875906066</v>
      </c>
    </row>
    <row r="21" spans="1:11" x14ac:dyDescent="0.3">
      <c r="A21" s="18"/>
      <c r="B21" s="15"/>
      <c r="C21" s="15"/>
      <c r="D21" s="4"/>
      <c r="E21" s="4"/>
      <c r="F21" s="4"/>
      <c r="G21" s="4"/>
      <c r="H21" s="4"/>
      <c r="I21" s="20"/>
    </row>
    <row r="22" spans="1:11" x14ac:dyDescent="0.3">
      <c r="A22" s="18" t="s">
        <v>414</v>
      </c>
      <c r="B22" s="15"/>
      <c r="C22" s="15"/>
      <c r="D22" s="4"/>
      <c r="E22" s="4"/>
      <c r="F22" s="4"/>
      <c r="G22" s="4"/>
      <c r="H22" s="4"/>
      <c r="I22" s="20"/>
    </row>
    <row r="23" spans="1:11" x14ac:dyDescent="0.3">
      <c r="A23" s="18"/>
      <c r="B23" s="15" t="s">
        <v>49</v>
      </c>
      <c r="C23" s="15"/>
      <c r="D23" s="4">
        <f>SUM(D107,D111,D115,D119,D124)</f>
        <v>5006</v>
      </c>
      <c r="E23" s="4">
        <f t="shared" ref="E23:I23" si="9">SUM(E107,E111,E115,E119,E124)</f>
        <v>4905</v>
      </c>
      <c r="F23" s="4">
        <f t="shared" si="9"/>
        <v>4806</v>
      </c>
      <c r="G23" s="4">
        <f t="shared" si="9"/>
        <v>4708</v>
      </c>
      <c r="H23" s="4">
        <f t="shared" si="9"/>
        <v>4613</v>
      </c>
      <c r="I23" s="20">
        <f t="shared" si="9"/>
        <v>4613</v>
      </c>
      <c r="K23" t="s">
        <v>412</v>
      </c>
    </row>
    <row r="24" spans="1:11" x14ac:dyDescent="0.3">
      <c r="A24" s="18"/>
      <c r="B24" s="15" t="s">
        <v>413</v>
      </c>
      <c r="C24" s="15"/>
      <c r="D24" s="21">
        <f>D19</f>
        <v>76.461968829092839</v>
      </c>
      <c r="E24" s="4">
        <f t="shared" ref="E24:I24" si="10">E19</f>
        <v>76.461968829092839</v>
      </c>
      <c r="F24" s="4">
        <f t="shared" si="10"/>
        <v>76.461968829092839</v>
      </c>
      <c r="G24" s="4">
        <f t="shared" si="10"/>
        <v>76.461968829092839</v>
      </c>
      <c r="H24" s="4">
        <f t="shared" si="10"/>
        <v>76.461968829092839</v>
      </c>
      <c r="I24" s="20">
        <f t="shared" si="10"/>
        <v>76.461968829092839</v>
      </c>
    </row>
    <row r="25" spans="1:11" x14ac:dyDescent="0.3">
      <c r="A25" s="18"/>
      <c r="B25" s="15"/>
      <c r="C25" s="15"/>
      <c r="D25" s="3">
        <f>D23*D24</f>
        <v>382768.61595843878</v>
      </c>
      <c r="E25" s="3">
        <f t="shared" ref="E25:I25" si="11">E23*E24</f>
        <v>375045.9571067004</v>
      </c>
      <c r="F25" s="3">
        <f t="shared" si="11"/>
        <v>367476.22219262016</v>
      </c>
      <c r="G25" s="3">
        <f t="shared" si="11"/>
        <v>359982.94924736908</v>
      </c>
      <c r="H25" s="3">
        <f t="shared" si="11"/>
        <v>352719.06220860529</v>
      </c>
      <c r="I25" s="23">
        <f t="shared" si="11"/>
        <v>352719.06220860529</v>
      </c>
    </row>
    <row r="26" spans="1:11" x14ac:dyDescent="0.3">
      <c r="A26" s="18"/>
      <c r="B26" s="15"/>
      <c r="C26" s="15"/>
      <c r="D26" s="4"/>
      <c r="E26" s="4"/>
      <c r="F26" s="4"/>
      <c r="G26" s="4"/>
      <c r="H26" s="4"/>
      <c r="I26" s="4"/>
      <c r="J26" s="18"/>
    </row>
    <row r="27" spans="1:11" x14ac:dyDescent="0.3">
      <c r="A27" s="18" t="s">
        <v>375</v>
      </c>
      <c r="B27" s="15"/>
      <c r="C27" s="15"/>
      <c r="D27" s="88"/>
      <c r="E27" s="88"/>
      <c r="F27" s="88"/>
      <c r="G27" s="88"/>
      <c r="H27" s="88"/>
      <c r="I27" s="88"/>
      <c r="J27" s="18"/>
    </row>
    <row r="28" spans="1:11" x14ac:dyDescent="0.3">
      <c r="A28" s="18"/>
      <c r="B28" s="15" t="s">
        <v>49</v>
      </c>
      <c r="C28" s="15"/>
      <c r="D28" s="88"/>
      <c r="E28" s="88">
        <f>'MCFO Work'!G48+'MCFO Work'!G59-Calc!E23</f>
        <v>21495</v>
      </c>
      <c r="F28" s="88">
        <f>'MCFO Work'!H48+'MCFO Work'!H59-Calc!F23</f>
        <v>23894.224701449639</v>
      </c>
      <c r="G28" s="88">
        <f>'MCFO Work'!I48+'MCFO Work'!I59-Calc!G23</f>
        <v>29314.94957635137</v>
      </c>
      <c r="H28" s="88">
        <f>'MCFO Work'!J48+'MCFO Work'!J59-Calc!H23</f>
        <v>33801.867543933535</v>
      </c>
      <c r="I28" s="88">
        <f>'MCFO Work'!K48+'MCFO Work'!K59-Calc!I23</f>
        <v>37563.524444317554</v>
      </c>
      <c r="J28" s="18"/>
    </row>
    <row r="29" spans="1:11" x14ac:dyDescent="0.3">
      <c r="A29" s="18"/>
      <c r="B29" s="15" t="s">
        <v>413</v>
      </c>
      <c r="C29" s="15"/>
      <c r="D29" s="459">
        <f>D24</f>
        <v>76.461968829092839</v>
      </c>
      <c r="E29" s="459">
        <f t="shared" ref="E29:I29" si="12">E24</f>
        <v>76.461968829092839</v>
      </c>
      <c r="F29" s="459">
        <f t="shared" si="12"/>
        <v>76.461968829092839</v>
      </c>
      <c r="G29" s="459">
        <f t="shared" si="12"/>
        <v>76.461968829092839</v>
      </c>
      <c r="H29" s="459">
        <f t="shared" si="12"/>
        <v>76.461968829092839</v>
      </c>
      <c r="I29" s="459">
        <f t="shared" si="12"/>
        <v>76.461968829092839</v>
      </c>
      <c r="J29" s="18"/>
    </row>
    <row r="30" spans="1:11" x14ac:dyDescent="0.3">
      <c r="C30" s="15"/>
      <c r="D30" s="460">
        <f t="shared" ref="D30:I30" si="13">D28*D29</f>
        <v>0</v>
      </c>
      <c r="E30" s="460">
        <f t="shared" si="13"/>
        <v>1643550.0199813505</v>
      </c>
      <c r="F30" s="460">
        <f t="shared" si="13"/>
        <v>1826999.4643175825</v>
      </c>
      <c r="G30" s="460">
        <f t="shared" si="13"/>
        <v>2241478.760733407</v>
      </c>
      <c r="H30" s="460">
        <f t="shared" si="13"/>
        <v>2584557.3425093708</v>
      </c>
      <c r="I30" s="460">
        <f t="shared" si="13"/>
        <v>2872181.0351722757</v>
      </c>
      <c r="J30" s="18"/>
    </row>
    <row r="31" spans="1:11" x14ac:dyDescent="0.3">
      <c r="A31" s="18" t="s">
        <v>394</v>
      </c>
      <c r="B31" s="15"/>
      <c r="C31" s="15"/>
      <c r="D31" s="88"/>
      <c r="E31" s="88"/>
      <c r="F31" s="88"/>
      <c r="G31" s="88"/>
      <c r="H31" s="88"/>
      <c r="I31" s="88"/>
      <c r="J31" s="18"/>
    </row>
    <row r="32" spans="1:11" x14ac:dyDescent="0.3">
      <c r="A32" s="18"/>
      <c r="B32" s="15" t="s">
        <v>49</v>
      </c>
      <c r="C32" s="15"/>
      <c r="D32" s="88">
        <f>D28</f>
        <v>0</v>
      </c>
      <c r="E32" s="88">
        <f t="shared" ref="E32:I32" si="14">E28</f>
        <v>21495</v>
      </c>
      <c r="F32" s="88">
        <f t="shared" si="14"/>
        <v>23894.224701449639</v>
      </c>
      <c r="G32" s="88">
        <f t="shared" si="14"/>
        <v>29314.94957635137</v>
      </c>
      <c r="H32" s="88">
        <f t="shared" si="14"/>
        <v>33801.867543933535</v>
      </c>
      <c r="I32" s="88">
        <f t="shared" si="14"/>
        <v>37563.524444317554</v>
      </c>
      <c r="J32" s="18"/>
    </row>
    <row r="33" spans="1:14" x14ac:dyDescent="0.3">
      <c r="A33" s="18"/>
      <c r="B33" s="47" t="s">
        <v>60</v>
      </c>
      <c r="C33" s="15"/>
      <c r="D33" s="459">
        <f>D129*3/4</f>
        <v>241.5</v>
      </c>
      <c r="E33" s="459">
        <f>D33</f>
        <v>241.5</v>
      </c>
      <c r="F33" s="459">
        <f t="shared" ref="F33:I33" si="15">E33</f>
        <v>241.5</v>
      </c>
      <c r="G33" s="459">
        <f t="shared" si="15"/>
        <v>241.5</v>
      </c>
      <c r="H33" s="459">
        <f t="shared" si="15"/>
        <v>241.5</v>
      </c>
      <c r="I33" s="459">
        <f t="shared" si="15"/>
        <v>241.5</v>
      </c>
      <c r="J33" s="18"/>
      <c r="K33" t="s">
        <v>396</v>
      </c>
    </row>
    <row r="34" spans="1:14" x14ac:dyDescent="0.3">
      <c r="A34" s="18"/>
      <c r="B34" s="15"/>
      <c r="C34" s="15"/>
      <c r="D34" s="460">
        <f>D32*D33</f>
        <v>0</v>
      </c>
      <c r="E34" s="460">
        <f t="shared" ref="E34:I34" si="16">E32*E33</f>
        <v>5191042.5</v>
      </c>
      <c r="F34" s="460">
        <f t="shared" si="16"/>
        <v>5770455.2654000875</v>
      </c>
      <c r="G34" s="460">
        <f t="shared" si="16"/>
        <v>7079560.3226888562</v>
      </c>
      <c r="H34" s="460">
        <f t="shared" si="16"/>
        <v>8163151.0118599487</v>
      </c>
      <c r="I34" s="460">
        <f t="shared" si="16"/>
        <v>9071591.15330269</v>
      </c>
      <c r="J34" s="18"/>
    </row>
    <row r="35" spans="1:14" x14ac:dyDescent="0.3">
      <c r="A35" s="14" t="s">
        <v>415</v>
      </c>
      <c r="B35" s="15"/>
      <c r="C35" s="15"/>
      <c r="D35" s="88"/>
      <c r="E35" s="88"/>
      <c r="F35" s="88"/>
      <c r="G35" s="88"/>
      <c r="H35" s="88"/>
      <c r="I35" s="88"/>
      <c r="J35" s="18"/>
      <c r="K35" s="5"/>
      <c r="L35" s="5"/>
      <c r="M35" s="5"/>
      <c r="N35" s="5"/>
    </row>
    <row r="36" spans="1:14" x14ac:dyDescent="0.3">
      <c r="A36" s="18"/>
      <c r="B36" s="15" t="s">
        <v>49</v>
      </c>
      <c r="C36" s="15"/>
      <c r="D36" s="88">
        <f t="shared" ref="D36:I36" si="17">D18*0.1</f>
        <v>1670.1035974432068</v>
      </c>
      <c r="E36" s="88">
        <f t="shared" si="17"/>
        <v>1708.7825237314494</v>
      </c>
      <c r="F36" s="88">
        <f t="shared" si="17"/>
        <v>1682.6115052613231</v>
      </c>
      <c r="G36" s="88">
        <f t="shared" si="17"/>
        <v>1724.0389890255174</v>
      </c>
      <c r="H36" s="88">
        <f t="shared" si="17"/>
        <v>1636.7325813170755</v>
      </c>
      <c r="I36" s="88">
        <f t="shared" si="17"/>
        <v>1626.8831354402159</v>
      </c>
      <c r="J36" s="18"/>
      <c r="K36" t="s">
        <v>416</v>
      </c>
    </row>
    <row r="37" spans="1:14" x14ac:dyDescent="0.3">
      <c r="A37" s="18"/>
      <c r="B37" s="15" t="s">
        <v>417</v>
      </c>
      <c r="C37" s="15"/>
      <c r="D37" s="459">
        <f t="shared" ref="D37:I37" si="18">22.42/$N$7</f>
        <v>29.865458905021981</v>
      </c>
      <c r="E37" s="459">
        <f t="shared" si="18"/>
        <v>29.865458905021981</v>
      </c>
      <c r="F37" s="459">
        <f t="shared" si="18"/>
        <v>29.865458905021981</v>
      </c>
      <c r="G37" s="459">
        <f t="shared" si="18"/>
        <v>29.865458905021981</v>
      </c>
      <c r="H37" s="459">
        <f t="shared" si="18"/>
        <v>29.865458905021981</v>
      </c>
      <c r="I37" s="459">
        <f t="shared" si="18"/>
        <v>29.865458905021981</v>
      </c>
      <c r="J37" s="18"/>
    </row>
    <row r="38" spans="1:14" x14ac:dyDescent="0.3">
      <c r="A38" s="18"/>
      <c r="B38" s="15"/>
      <c r="C38" s="15"/>
      <c r="D38" s="460">
        <f>D36*D37</f>
        <v>49878.410356569468</v>
      </c>
      <c r="E38" s="460">
        <f t="shared" ref="E38" si="19">E36*E37</f>
        <v>51033.57424012135</v>
      </c>
      <c r="F38" s="460">
        <f t="shared" ref="F38" si="20">F36*F37</f>
        <v>50251.964763499222</v>
      </c>
      <c r="G38" s="460">
        <f t="shared" ref="G38" si="21">G36*G37</f>
        <v>51489.215577397234</v>
      </c>
      <c r="H38" s="460">
        <f t="shared" ref="H38" si="22">H36*H37</f>
        <v>48881.769645835666</v>
      </c>
      <c r="I38" s="460">
        <f t="shared" ref="I38" si="23">I36*I37</f>
        <v>48587.611424763076</v>
      </c>
      <c r="J38" s="18"/>
    </row>
    <row r="39" spans="1:14" x14ac:dyDescent="0.3">
      <c r="A39" s="18" t="s">
        <v>418</v>
      </c>
      <c r="B39" s="15"/>
      <c r="C39" s="15"/>
      <c r="D39" s="88"/>
      <c r="E39" s="88"/>
      <c r="F39" s="88"/>
      <c r="G39" s="88"/>
      <c r="H39" s="88"/>
      <c r="I39" s="88"/>
      <c r="J39" s="18"/>
    </row>
    <row r="40" spans="1:14" x14ac:dyDescent="0.3">
      <c r="A40" s="18"/>
      <c r="B40" s="15" t="s">
        <v>49</v>
      </c>
      <c r="C40" s="15"/>
      <c r="D40" s="88">
        <f t="shared" ref="D40:I40" si="24">D23*0.1</f>
        <v>500.6</v>
      </c>
      <c r="E40" s="88">
        <f t="shared" si="24"/>
        <v>490.5</v>
      </c>
      <c r="F40" s="88">
        <f t="shared" si="24"/>
        <v>480.6</v>
      </c>
      <c r="G40" s="88">
        <f t="shared" si="24"/>
        <v>470.8</v>
      </c>
      <c r="H40" s="88">
        <f t="shared" si="24"/>
        <v>461.3</v>
      </c>
      <c r="I40" s="88">
        <f t="shared" si="24"/>
        <v>461.3</v>
      </c>
      <c r="J40" s="18"/>
      <c r="K40" t="s">
        <v>416</v>
      </c>
    </row>
    <row r="41" spans="1:14" x14ac:dyDescent="0.3">
      <c r="A41" s="18"/>
      <c r="B41" s="15" t="s">
        <v>417</v>
      </c>
      <c r="C41" s="15"/>
      <c r="D41" s="459">
        <f t="shared" ref="D41:I41" si="25">22.42/$N$7</f>
        <v>29.865458905021981</v>
      </c>
      <c r="E41" s="88">
        <f t="shared" si="25"/>
        <v>29.865458905021981</v>
      </c>
      <c r="F41" s="88">
        <f t="shared" si="25"/>
        <v>29.865458905021981</v>
      </c>
      <c r="G41" s="88">
        <f t="shared" si="25"/>
        <v>29.865458905021981</v>
      </c>
      <c r="H41" s="88">
        <f t="shared" si="25"/>
        <v>29.865458905021981</v>
      </c>
      <c r="I41" s="88">
        <f t="shared" si="25"/>
        <v>29.865458905021981</v>
      </c>
      <c r="J41" s="18"/>
    </row>
    <row r="42" spans="1:14" x14ac:dyDescent="0.3">
      <c r="A42" s="18"/>
      <c r="B42" s="15"/>
      <c r="C42" s="15"/>
      <c r="D42" s="460">
        <f t="shared" ref="D42:H42" si="26">D40*D41</f>
        <v>14950.648727854004</v>
      </c>
      <c r="E42" s="460">
        <f t="shared" si="26"/>
        <v>14649.007592913282</v>
      </c>
      <c r="F42" s="460">
        <f t="shared" si="26"/>
        <v>14353.339549753566</v>
      </c>
      <c r="G42" s="460">
        <f t="shared" si="26"/>
        <v>14060.658052484348</v>
      </c>
      <c r="H42" s="460">
        <f t="shared" si="26"/>
        <v>13776.93619288664</v>
      </c>
      <c r="I42" s="460">
        <f>I40*I41</f>
        <v>13776.93619288664</v>
      </c>
      <c r="J42" s="18"/>
    </row>
    <row r="43" spans="1:14" x14ac:dyDescent="0.3">
      <c r="A43" s="18"/>
      <c r="B43" s="15"/>
      <c r="C43" s="15"/>
      <c r="D43" s="88"/>
      <c r="E43" s="88"/>
      <c r="F43" s="88"/>
      <c r="G43" s="88"/>
      <c r="H43" s="88"/>
      <c r="I43" s="88"/>
      <c r="J43" s="18"/>
    </row>
    <row r="44" spans="1:14" x14ac:dyDescent="0.3">
      <c r="A44" s="18" t="s">
        <v>419</v>
      </c>
      <c r="B44" s="15"/>
      <c r="C44" s="15"/>
      <c r="D44" s="88"/>
      <c r="E44" s="88"/>
      <c r="F44" s="88"/>
      <c r="G44" s="88"/>
      <c r="H44" s="88"/>
      <c r="I44" s="88"/>
      <c r="J44" s="18"/>
    </row>
    <row r="45" spans="1:14" x14ac:dyDescent="0.3">
      <c r="A45" s="18"/>
      <c r="B45" s="15" t="s">
        <v>49</v>
      </c>
      <c r="C45" s="15"/>
      <c r="D45" s="88">
        <f t="shared" ref="D45:I45" si="27">D28*0.1</f>
        <v>0</v>
      </c>
      <c r="E45" s="88">
        <f t="shared" si="27"/>
        <v>2149.5</v>
      </c>
      <c r="F45" s="88">
        <f t="shared" si="27"/>
        <v>2389.4224701449639</v>
      </c>
      <c r="G45" s="88">
        <f t="shared" si="27"/>
        <v>2931.4949576351373</v>
      </c>
      <c r="H45" s="88">
        <f t="shared" si="27"/>
        <v>3380.1867543933536</v>
      </c>
      <c r="I45" s="88">
        <f t="shared" si="27"/>
        <v>3756.3524444317554</v>
      </c>
      <c r="J45" s="18"/>
    </row>
    <row r="46" spans="1:14" x14ac:dyDescent="0.3">
      <c r="A46" s="18"/>
      <c r="B46" s="15" t="s">
        <v>417</v>
      </c>
      <c r="C46" s="15"/>
      <c r="D46" s="459">
        <f>22.42/$N$7</f>
        <v>29.865458905021981</v>
      </c>
      <c r="E46" s="459">
        <f t="shared" ref="E46:I46" si="28">22.42/$N$7</f>
        <v>29.865458905021981</v>
      </c>
      <c r="F46" s="459">
        <f t="shared" si="28"/>
        <v>29.865458905021981</v>
      </c>
      <c r="G46" s="459">
        <f t="shared" si="28"/>
        <v>29.865458905021981</v>
      </c>
      <c r="H46" s="459">
        <f t="shared" si="28"/>
        <v>29.865458905021981</v>
      </c>
      <c r="I46" s="461">
        <f t="shared" si="28"/>
        <v>29.865458905021981</v>
      </c>
      <c r="J46" s="18"/>
    </row>
    <row r="47" spans="1:14" x14ac:dyDescent="0.3">
      <c r="A47" s="18"/>
      <c r="B47" s="15"/>
      <c r="C47" s="15"/>
      <c r="D47" s="460">
        <f>D45*D46</f>
        <v>0</v>
      </c>
      <c r="E47" s="460">
        <f t="shared" ref="E47:I47" si="29">E45*E46</f>
        <v>64195.803916344747</v>
      </c>
      <c r="F47" s="460">
        <f t="shared" si="29"/>
        <v>71361.19858885053</v>
      </c>
      <c r="G47" s="460">
        <f t="shared" si="29"/>
        <v>87550.442187531342</v>
      </c>
      <c r="H47" s="460">
        <f t="shared" si="29"/>
        <v>100950.82860463433</v>
      </c>
      <c r="I47" s="460">
        <f t="shared" si="29"/>
        <v>112185.18956195546</v>
      </c>
      <c r="J47" s="18"/>
    </row>
    <row r="48" spans="1:14" x14ac:dyDescent="0.3">
      <c r="A48" s="14" t="s">
        <v>52</v>
      </c>
      <c r="B48" s="15"/>
      <c r="C48" s="15"/>
      <c r="D48" s="88"/>
      <c r="E48" s="88"/>
      <c r="F48" s="88"/>
      <c r="G48" s="88"/>
      <c r="H48" s="88"/>
      <c r="I48" s="88"/>
      <c r="J48" s="18"/>
    </row>
    <row r="49" spans="1:13" x14ac:dyDescent="0.3">
      <c r="A49" s="18"/>
      <c r="B49" s="15" t="s">
        <v>49</v>
      </c>
      <c r="C49" s="15"/>
      <c r="D49" s="88">
        <f>43750*2/3</f>
        <v>29166.666666666668</v>
      </c>
      <c r="E49" s="88">
        <f>43750*1/3</f>
        <v>14583.333333333334</v>
      </c>
      <c r="F49" s="88">
        <v>470</v>
      </c>
      <c r="G49" s="88">
        <v>470</v>
      </c>
      <c r="H49" s="88">
        <v>470</v>
      </c>
      <c r="I49" s="88">
        <v>470</v>
      </c>
      <c r="J49" s="18" t="s">
        <v>229</v>
      </c>
    </row>
    <row r="50" spans="1:13" x14ac:dyDescent="0.3">
      <c r="A50" s="18"/>
      <c r="B50" s="15" t="s">
        <v>51</v>
      </c>
      <c r="C50" s="15"/>
      <c r="D50" s="459">
        <f t="shared" ref="D50:I50" si="30">(180+12.15)/$N$7</f>
        <v>255.9611029705608</v>
      </c>
      <c r="E50" s="459">
        <f t="shared" si="30"/>
        <v>255.9611029705608</v>
      </c>
      <c r="F50" s="459">
        <f t="shared" si="30"/>
        <v>255.9611029705608</v>
      </c>
      <c r="G50" s="459">
        <f t="shared" si="30"/>
        <v>255.9611029705608</v>
      </c>
      <c r="H50" s="459">
        <f t="shared" si="30"/>
        <v>255.9611029705608</v>
      </c>
      <c r="I50" s="459">
        <f t="shared" si="30"/>
        <v>255.9611029705608</v>
      </c>
      <c r="J50" s="18"/>
    </row>
    <row r="51" spans="1:13" x14ac:dyDescent="0.3">
      <c r="A51" s="18"/>
      <c r="B51" s="15"/>
      <c r="C51" s="15"/>
      <c r="D51" s="460">
        <f>D49*D50</f>
        <v>7465532.1699746903</v>
      </c>
      <c r="E51" s="460">
        <f t="shared" ref="E51" si="31">E49*E50</f>
        <v>3732766.0849873452</v>
      </c>
      <c r="F51" s="460">
        <f t="shared" ref="F51" si="32">F49*F50</f>
        <v>120301.71839616357</v>
      </c>
      <c r="G51" s="460">
        <f t="shared" ref="G51" si="33">G49*G50</f>
        <v>120301.71839616357</v>
      </c>
      <c r="H51" s="460">
        <f t="shared" ref="H51" si="34">H49*H50</f>
        <v>120301.71839616357</v>
      </c>
      <c r="I51" s="460">
        <f t="shared" ref="I51" si="35">I49*I50</f>
        <v>120301.71839616357</v>
      </c>
      <c r="J51" s="18"/>
    </row>
    <row r="52" spans="1:13" x14ac:dyDescent="0.3">
      <c r="A52" s="14" t="s">
        <v>50</v>
      </c>
      <c r="B52" s="15"/>
      <c r="C52" s="15"/>
      <c r="D52" s="88"/>
      <c r="E52" s="88"/>
      <c r="F52" s="88"/>
      <c r="G52" s="88"/>
      <c r="H52" s="88"/>
      <c r="I52" s="88"/>
      <c r="J52" s="18"/>
    </row>
    <row r="53" spans="1:13" x14ac:dyDescent="0.3">
      <c r="A53" s="18"/>
      <c r="B53" s="15" t="s">
        <v>49</v>
      </c>
      <c r="C53" s="15"/>
      <c r="D53" s="88">
        <v>0</v>
      </c>
      <c r="E53" s="88">
        <v>0</v>
      </c>
      <c r="F53" s="88">
        <v>255</v>
      </c>
      <c r="G53" s="88">
        <v>255</v>
      </c>
      <c r="H53" s="88">
        <v>255</v>
      </c>
      <c r="I53" s="88">
        <v>255</v>
      </c>
      <c r="J53" s="18" t="s">
        <v>230</v>
      </c>
    </row>
    <row r="54" spans="1:13" x14ac:dyDescent="0.3">
      <c r="A54" s="18"/>
      <c r="B54" s="15" t="s">
        <v>51</v>
      </c>
      <c r="C54" s="15"/>
      <c r="D54" s="459">
        <f t="shared" ref="D54:I54" si="36">(180+12.15)/$N$7</f>
        <v>255.9611029705608</v>
      </c>
      <c r="E54" s="459">
        <f t="shared" si="36"/>
        <v>255.9611029705608</v>
      </c>
      <c r="F54" s="459">
        <f t="shared" si="36"/>
        <v>255.9611029705608</v>
      </c>
      <c r="G54" s="459">
        <f t="shared" si="36"/>
        <v>255.9611029705608</v>
      </c>
      <c r="H54" s="459">
        <f t="shared" si="36"/>
        <v>255.9611029705608</v>
      </c>
      <c r="I54" s="459">
        <f t="shared" si="36"/>
        <v>255.9611029705608</v>
      </c>
      <c r="J54" s="18"/>
    </row>
    <row r="55" spans="1:13" x14ac:dyDescent="0.3">
      <c r="A55" s="18"/>
      <c r="B55" s="15"/>
      <c r="C55" s="15"/>
      <c r="D55" s="460">
        <f>D53*D54</f>
        <v>0</v>
      </c>
      <c r="E55" s="460">
        <f t="shared" ref="E55" si="37">E53*E54</f>
        <v>0</v>
      </c>
      <c r="F55" s="460">
        <f t="shared" ref="F55" si="38">F53*F54</f>
        <v>65270.081257493002</v>
      </c>
      <c r="G55" s="460">
        <f t="shared" ref="G55" si="39">G53*G54</f>
        <v>65270.081257493002</v>
      </c>
      <c r="H55" s="460">
        <f t="shared" ref="H55" si="40">H53*H54</f>
        <v>65270.081257493002</v>
      </c>
      <c r="I55" s="460">
        <f t="shared" ref="I55" si="41">I53*I54</f>
        <v>65270.081257493002</v>
      </c>
      <c r="J55" s="18"/>
      <c r="K55" s="123"/>
      <c r="L55" s="123"/>
      <c r="M55" s="123"/>
    </row>
    <row r="56" spans="1:13" x14ac:dyDescent="0.3">
      <c r="A56" s="14" t="s">
        <v>53</v>
      </c>
      <c r="B56" s="15"/>
      <c r="C56" s="15"/>
      <c r="D56" s="88"/>
      <c r="E56" s="88"/>
      <c r="F56" s="88"/>
      <c r="G56" s="88"/>
      <c r="H56" s="88"/>
      <c r="I56" s="88"/>
      <c r="J56" s="18"/>
    </row>
    <row r="57" spans="1:13" x14ac:dyDescent="0.3">
      <c r="A57" s="18"/>
      <c r="B57" s="15" t="s">
        <v>49</v>
      </c>
      <c r="C57" s="15"/>
      <c r="D57" s="143">
        <f t="shared" ref="D57:I57" si="42">SUM(D5,D9,D13,D49,D53)</f>
        <v>178808</v>
      </c>
      <c r="E57" s="143">
        <f t="shared" si="42"/>
        <v>14583.333333333334</v>
      </c>
      <c r="F57" s="143">
        <f t="shared" si="42"/>
        <v>725</v>
      </c>
      <c r="G57" s="143">
        <f t="shared" si="42"/>
        <v>725</v>
      </c>
      <c r="H57" s="143">
        <f t="shared" si="42"/>
        <v>725</v>
      </c>
      <c r="I57" s="143">
        <f t="shared" si="42"/>
        <v>725</v>
      </c>
      <c r="J57" s="18"/>
    </row>
    <row r="58" spans="1:13" x14ac:dyDescent="0.3">
      <c r="A58" s="18"/>
      <c r="B58" s="47" t="s">
        <v>60</v>
      </c>
      <c r="C58" s="15"/>
      <c r="D58" s="461">
        <v>61.2</v>
      </c>
      <c r="E58" s="143">
        <v>61.2</v>
      </c>
      <c r="F58" s="143">
        <v>61.2</v>
      </c>
      <c r="G58" s="143">
        <v>61.2</v>
      </c>
      <c r="H58" s="143">
        <v>61.2</v>
      </c>
      <c r="I58" s="143">
        <v>61.2</v>
      </c>
      <c r="J58" s="18"/>
    </row>
    <row r="59" spans="1:13" x14ac:dyDescent="0.3">
      <c r="A59" s="18"/>
      <c r="B59" s="15"/>
      <c r="C59" s="15"/>
      <c r="D59" s="462">
        <f>D57*D58</f>
        <v>10943049.6</v>
      </c>
      <c r="E59" s="462">
        <f t="shared" ref="E59:I59" si="43">E57*E58</f>
        <v>892500.00000000012</v>
      </c>
      <c r="F59" s="462">
        <f t="shared" si="43"/>
        <v>44370</v>
      </c>
      <c r="G59" s="462">
        <f t="shared" si="43"/>
        <v>44370</v>
      </c>
      <c r="H59" s="462">
        <f t="shared" si="43"/>
        <v>44370</v>
      </c>
      <c r="I59" s="462">
        <f t="shared" si="43"/>
        <v>44370</v>
      </c>
      <c r="J59" s="18"/>
    </row>
    <row r="60" spans="1:13" x14ac:dyDescent="0.3">
      <c r="A60" s="18"/>
      <c r="B60" s="15"/>
      <c r="C60" s="15"/>
      <c r="D60" s="143"/>
      <c r="E60" s="143"/>
      <c r="F60" s="143"/>
      <c r="G60" s="143"/>
      <c r="H60" s="143"/>
      <c r="I60" s="143"/>
      <c r="J60" s="18"/>
    </row>
    <row r="61" spans="1:13" x14ac:dyDescent="0.3">
      <c r="A61" s="18"/>
      <c r="B61" s="15"/>
      <c r="C61" s="15"/>
      <c r="D61" s="143"/>
      <c r="E61" s="143"/>
      <c r="F61" s="143"/>
      <c r="G61" s="143"/>
      <c r="H61" s="143"/>
      <c r="I61" s="143"/>
      <c r="J61" s="18"/>
    </row>
    <row r="62" spans="1:13" x14ac:dyDescent="0.3">
      <c r="A62" s="18"/>
      <c r="B62" s="15"/>
      <c r="C62" s="15"/>
      <c r="D62" s="143"/>
      <c r="E62" s="143"/>
      <c r="F62" s="143"/>
      <c r="G62" s="143"/>
      <c r="H62" s="143"/>
      <c r="I62" s="143"/>
      <c r="J62" s="18"/>
    </row>
    <row r="63" spans="1:13" x14ac:dyDescent="0.3">
      <c r="A63" s="18"/>
      <c r="B63" s="15"/>
      <c r="C63" s="15"/>
      <c r="D63" s="143"/>
      <c r="E63" s="143"/>
      <c r="F63" s="143"/>
      <c r="G63" s="143"/>
      <c r="H63" s="143"/>
      <c r="I63" s="143"/>
      <c r="J63" s="18"/>
    </row>
    <row r="64" spans="1:13" x14ac:dyDescent="0.3">
      <c r="A64" s="18"/>
      <c r="B64" s="15"/>
      <c r="C64" s="15"/>
      <c r="D64" s="143"/>
      <c r="E64" s="143"/>
      <c r="F64" s="143"/>
      <c r="G64" s="143"/>
      <c r="H64" s="143"/>
      <c r="I64" s="143"/>
      <c r="J64" s="18"/>
    </row>
    <row r="65" spans="1:10" x14ac:dyDescent="0.3">
      <c r="A65" s="18"/>
      <c r="B65" s="15"/>
      <c r="C65" s="15"/>
      <c r="D65" s="143"/>
      <c r="E65" s="143"/>
      <c r="F65" s="143"/>
      <c r="G65" s="143"/>
      <c r="H65" s="143"/>
      <c r="I65" s="143"/>
      <c r="J65" s="18"/>
    </row>
    <row r="66" spans="1:10" ht="15" thickBot="1" x14ac:dyDescent="0.35">
      <c r="A66" s="25" t="s">
        <v>420</v>
      </c>
      <c r="B66" s="15"/>
      <c r="C66" s="15"/>
      <c r="D66" s="463">
        <f>SUM(D7,D11,D15,D20,D25,D30,D34,D38,D42,D47,D51,D55,D59)</f>
        <v>31575044.501985364</v>
      </c>
      <c r="E66" s="463">
        <f t="shared" ref="E66:I66" si="44">SUM(E7,E11,E15,E20,E25,E30,E34,E38,E42,E47,E51,E55,E59)</f>
        <v>13271351.708477303</v>
      </c>
      <c r="F66" s="463">
        <f t="shared" si="44"/>
        <v>9617397.1391336937</v>
      </c>
      <c r="G66" s="463">
        <f t="shared" si="44"/>
        <v>11382298.302530799</v>
      </c>
      <c r="H66" s="463">
        <f t="shared" si="44"/>
        <v>12745456.706817208</v>
      </c>
      <c r="I66" s="463">
        <f t="shared" si="44"/>
        <v>13944929.663422899</v>
      </c>
      <c r="J66" s="18"/>
    </row>
    <row r="67" spans="1:10" x14ac:dyDescent="0.3">
      <c r="A67" s="14" t="s">
        <v>64</v>
      </c>
      <c r="B67" s="15"/>
      <c r="C67" s="15"/>
      <c r="D67" s="279">
        <f>SUM(D7,D11,D15,D20,D25,D30,D38,D42,D47,D51,D55)</f>
        <v>20631994.901985362</v>
      </c>
      <c r="E67" s="279">
        <f>SUM(E20,E25,E30,E38,E42,E47,E51,E55)</f>
        <v>7187809.2084773025</v>
      </c>
      <c r="F67" s="279">
        <f>SUM(F20,F25,F30,F38,F42,F47,F51,F55)</f>
        <v>3802571.8737336053</v>
      </c>
      <c r="G67" s="279">
        <f>SUM(G20,G25,G30,G38,G42,G47,G51,G55)</f>
        <v>4258367.9798419438</v>
      </c>
      <c r="H67" s="279">
        <f>SUM(H20,H25,H30,H38,H42,H47,H51,H55)</f>
        <v>4537935.6949572582</v>
      </c>
      <c r="I67" s="279">
        <f>SUM(I20,I25,I30,I38,I42,I47,I51,I55)</f>
        <v>4828968.5101202093</v>
      </c>
      <c r="J67" s="18"/>
    </row>
    <row r="68" spans="1:10" x14ac:dyDescent="0.3">
      <c r="A68" s="14" t="s">
        <v>36</v>
      </c>
      <c r="B68" s="15"/>
      <c r="C68" s="15"/>
      <c r="D68" s="279">
        <f>D59</f>
        <v>10943049.6</v>
      </c>
      <c r="E68" s="279">
        <f t="shared" ref="E68:I68" si="45">E59</f>
        <v>892500.00000000012</v>
      </c>
      <c r="F68" s="279">
        <f t="shared" si="45"/>
        <v>44370</v>
      </c>
      <c r="G68" s="279">
        <f t="shared" si="45"/>
        <v>44370</v>
      </c>
      <c r="H68" s="279">
        <f t="shared" si="45"/>
        <v>44370</v>
      </c>
      <c r="I68" s="279">
        <f t="shared" si="45"/>
        <v>44370</v>
      </c>
      <c r="J68" s="18"/>
    </row>
    <row r="69" spans="1:10" ht="15" thickBot="1" x14ac:dyDescent="0.35">
      <c r="A69" s="26"/>
      <c r="B69" s="27"/>
      <c r="C69" s="27"/>
      <c r="D69" s="464"/>
      <c r="E69" s="464"/>
      <c r="F69" s="464"/>
      <c r="G69" s="464"/>
      <c r="H69" s="464"/>
      <c r="I69" s="464"/>
      <c r="J69" s="18"/>
    </row>
    <row r="70" spans="1:10" x14ac:dyDescent="0.3">
      <c r="A70" s="28"/>
      <c r="B70" s="11"/>
      <c r="C70" s="11"/>
      <c r="D70" s="465"/>
      <c r="E70" s="465"/>
      <c r="F70" s="465"/>
      <c r="G70" s="465"/>
      <c r="H70" s="465"/>
      <c r="I70" s="465"/>
      <c r="J70" s="18"/>
    </row>
    <row r="71" spans="1:10" x14ac:dyDescent="0.3">
      <c r="A71" s="29"/>
      <c r="B71" s="15"/>
      <c r="C71" s="15"/>
      <c r="D71" s="280" t="s">
        <v>39</v>
      </c>
      <c r="E71" s="280" t="s">
        <v>40</v>
      </c>
      <c r="F71" s="280" t="s">
        <v>41</v>
      </c>
      <c r="G71" s="280" t="s">
        <v>42</v>
      </c>
      <c r="H71" s="280" t="s">
        <v>43</v>
      </c>
      <c r="I71" s="280" t="s">
        <v>44</v>
      </c>
      <c r="J71" s="18"/>
    </row>
    <row r="72" spans="1:10" x14ac:dyDescent="0.3">
      <c r="B72" s="15"/>
      <c r="C72" s="15"/>
      <c r="D72" s="466"/>
      <c r="E72" s="466"/>
      <c r="F72" s="466"/>
      <c r="G72" s="466"/>
      <c r="H72" s="466"/>
      <c r="I72" s="466"/>
      <c r="J72" s="18"/>
    </row>
    <row r="73" spans="1:10" x14ac:dyDescent="0.3">
      <c r="A73" s="25"/>
      <c r="B73" s="15"/>
      <c r="C73" s="15"/>
      <c r="D73" s="466"/>
      <c r="E73" s="466"/>
      <c r="F73" s="466"/>
      <c r="G73" s="466"/>
      <c r="H73" s="466"/>
      <c r="I73" s="466"/>
      <c r="J73" s="18"/>
    </row>
    <row r="74" spans="1:10" x14ac:dyDescent="0.3">
      <c r="A74" s="25" t="s">
        <v>281</v>
      </c>
      <c r="B74" s="19" t="s">
        <v>236</v>
      </c>
      <c r="C74" s="15"/>
      <c r="D74" s="466"/>
      <c r="E74" s="466"/>
      <c r="F74" s="466"/>
      <c r="G74" s="466">
        <v>300000</v>
      </c>
      <c r="H74" s="466">
        <v>300000</v>
      </c>
      <c r="I74" s="466">
        <v>300000</v>
      </c>
      <c r="J74" s="18"/>
    </row>
    <row r="75" spans="1:10" x14ac:dyDescent="0.3">
      <c r="A75" s="25"/>
      <c r="B75" s="15"/>
      <c r="C75" s="15"/>
      <c r="D75" s="466"/>
      <c r="E75" s="466"/>
      <c r="F75" s="466"/>
      <c r="G75" s="466"/>
      <c r="H75" s="466"/>
      <c r="I75" s="466"/>
      <c r="J75" s="18"/>
    </row>
    <row r="76" spans="1:10" x14ac:dyDescent="0.3">
      <c r="A76" s="25"/>
      <c r="B76" s="15"/>
      <c r="C76" s="15"/>
      <c r="D76" s="466"/>
      <c r="E76" s="466"/>
      <c r="F76" s="466"/>
      <c r="G76" s="466"/>
      <c r="H76" s="466"/>
      <c r="I76" s="466"/>
      <c r="J76" s="18"/>
    </row>
    <row r="77" spans="1:10" ht="15" thickBot="1" x14ac:dyDescent="0.35">
      <c r="A77" s="26"/>
      <c r="B77" s="27"/>
      <c r="C77" s="27"/>
      <c r="D77" s="467"/>
      <c r="E77" s="467"/>
      <c r="F77" s="467"/>
      <c r="G77" s="467"/>
      <c r="H77" s="467"/>
      <c r="I77" s="467"/>
      <c r="J77" s="18"/>
    </row>
    <row r="78" spans="1:10" x14ac:dyDescent="0.3">
      <c r="A78" s="32" t="s">
        <v>54</v>
      </c>
      <c r="B78" s="11"/>
      <c r="C78" s="11"/>
      <c r="D78" s="468" t="s">
        <v>39</v>
      </c>
      <c r="E78" s="468" t="s">
        <v>40</v>
      </c>
      <c r="F78" s="468" t="s">
        <v>41</v>
      </c>
      <c r="G78" s="468" t="s">
        <v>42</v>
      </c>
      <c r="H78" s="468" t="s">
        <v>43</v>
      </c>
      <c r="I78" s="468" t="s">
        <v>44</v>
      </c>
      <c r="J78" s="18"/>
    </row>
    <row r="79" spans="1:10" x14ac:dyDescent="0.3">
      <c r="A79" s="25"/>
      <c r="B79" s="15"/>
      <c r="C79" s="15"/>
      <c r="D79" s="143"/>
      <c r="E79" s="143"/>
      <c r="F79" s="143"/>
      <c r="G79" s="143"/>
      <c r="H79" s="143"/>
      <c r="I79" s="143"/>
      <c r="J79" s="18"/>
    </row>
    <row r="80" spans="1:10" x14ac:dyDescent="0.3">
      <c r="A80" s="25" t="s">
        <v>55</v>
      </c>
      <c r="B80" s="15"/>
      <c r="C80" s="15"/>
      <c r="D80" s="143"/>
      <c r="E80" s="143"/>
      <c r="F80" s="143"/>
      <c r="G80" s="143"/>
      <c r="H80" s="143"/>
      <c r="I80" s="143"/>
      <c r="J80" s="18"/>
    </row>
    <row r="81" spans="1:11" x14ac:dyDescent="0.3">
      <c r="A81" s="91" t="s">
        <v>89</v>
      </c>
      <c r="B81" s="15"/>
      <c r="C81" s="15"/>
      <c r="D81" s="143"/>
      <c r="E81" s="143"/>
      <c r="F81" s="143"/>
      <c r="G81" s="143"/>
      <c r="H81" s="143"/>
      <c r="I81" s="143"/>
      <c r="J81" s="18"/>
    </row>
    <row r="82" spans="1:11" x14ac:dyDescent="0.3">
      <c r="A82" s="18" t="s">
        <v>45</v>
      </c>
      <c r="B82" s="15" t="s">
        <v>49</v>
      </c>
      <c r="C82" s="15"/>
      <c r="D82" s="143">
        <f>'New connections'!L9</f>
        <v>6763.9481771064029</v>
      </c>
      <c r="E82" s="143">
        <f>'New connections'!L11</f>
        <v>7260.2887101820179</v>
      </c>
      <c r="F82" s="143">
        <f>'New connections'!L13</f>
        <v>6625.4064102950097</v>
      </c>
      <c r="G82" s="143">
        <f>'New connections'!L15</f>
        <v>6924.8103437313021</v>
      </c>
      <c r="H82" s="143">
        <f>'New connections'!L17</f>
        <v>6915.945667157609</v>
      </c>
      <c r="I82" s="143">
        <f>'New connections'!L19</f>
        <v>6988.2639107370442</v>
      </c>
      <c r="J82" s="18"/>
    </row>
    <row r="83" spans="1:11" x14ac:dyDescent="0.3">
      <c r="A83" s="18"/>
      <c r="B83" s="15" t="s">
        <v>56</v>
      </c>
      <c r="C83" s="15"/>
      <c r="D83" s="143">
        <v>90.161012578757223</v>
      </c>
      <c r="E83" s="143">
        <f>D83</f>
        <v>90.161012578757223</v>
      </c>
      <c r="F83" s="143">
        <f t="shared" ref="F83:I83" si="46">E83</f>
        <v>90.161012578757223</v>
      </c>
      <c r="G83" s="143">
        <f t="shared" si="46"/>
        <v>90.161012578757223</v>
      </c>
      <c r="H83" s="143">
        <f t="shared" si="46"/>
        <v>90.161012578757223</v>
      </c>
      <c r="I83" s="143">
        <f t="shared" si="46"/>
        <v>90.161012578757223</v>
      </c>
      <c r="J83" s="18"/>
      <c r="K83" t="s">
        <v>373</v>
      </c>
    </row>
    <row r="84" spans="1:11" x14ac:dyDescent="0.3">
      <c r="A84" s="18"/>
      <c r="B84" s="15"/>
      <c r="C84" s="15"/>
      <c r="D84" s="462">
        <f>D82*D83</f>
        <v>609844.4166781524</v>
      </c>
      <c r="E84" s="462">
        <f t="shared" ref="E84:I84" si="47">E82*E83</f>
        <v>654594.98172412999</v>
      </c>
      <c r="F84" s="462">
        <f t="shared" si="47"/>
        <v>597353.35069798713</v>
      </c>
      <c r="G84" s="462">
        <f t="shared" si="47"/>
        <v>624347.91250666603</v>
      </c>
      <c r="H84" s="462">
        <f t="shared" si="47"/>
        <v>623548.66429059871</v>
      </c>
      <c r="I84" s="462">
        <f t="shared" si="47"/>
        <v>630068.95035963773</v>
      </c>
      <c r="J84" s="18"/>
    </row>
    <row r="85" spans="1:11" x14ac:dyDescent="0.3">
      <c r="A85" s="18"/>
      <c r="B85" s="15"/>
      <c r="C85" s="15"/>
      <c r="D85" s="143"/>
      <c r="E85" s="143"/>
      <c r="F85" s="143"/>
      <c r="G85" s="143"/>
      <c r="H85" s="143"/>
      <c r="I85" s="143"/>
      <c r="J85" s="18"/>
    </row>
    <row r="86" spans="1:11" x14ac:dyDescent="0.3">
      <c r="A86" s="18" t="s">
        <v>46</v>
      </c>
      <c r="B86" s="15" t="s">
        <v>49</v>
      </c>
      <c r="C86" s="15"/>
      <c r="D86" s="143">
        <f>'New connections'!M9</f>
        <v>7918.5453198403502</v>
      </c>
      <c r="E86" s="143">
        <f>'New connections'!M11</f>
        <v>7660.395072937441</v>
      </c>
      <c r="F86" s="143">
        <f>'New connections'!M13</f>
        <v>8223.5247558628525</v>
      </c>
      <c r="G86" s="143">
        <f>'New connections'!M15</f>
        <v>8249.166108483987</v>
      </c>
      <c r="H86" s="143">
        <f>'New connections'!M17</f>
        <v>7387.0530049139152</v>
      </c>
      <c r="I86" s="143">
        <f>'New connections'!M19</f>
        <v>7194.0988207104674</v>
      </c>
      <c r="J86" s="18"/>
    </row>
    <row r="87" spans="1:11" x14ac:dyDescent="0.3">
      <c r="A87" s="18"/>
      <c r="B87" s="15" t="s">
        <v>56</v>
      </c>
      <c r="C87" s="15"/>
      <c r="D87" s="143">
        <f>'LG Invoices list'!$K$21/Calc!$N$7</f>
        <v>121.95284401225521</v>
      </c>
      <c r="E87" s="143">
        <f>'LG Invoices list'!$K$21/Calc!$N$7</f>
        <v>121.95284401225521</v>
      </c>
      <c r="F87" s="143">
        <f>'LG Invoices list'!$K$21/Calc!$N$7</f>
        <v>121.95284401225521</v>
      </c>
      <c r="G87" s="143">
        <f>'LG Invoices list'!$K$21/Calc!$N$7</f>
        <v>121.95284401225521</v>
      </c>
      <c r="H87" s="143">
        <f>'LG Invoices list'!$K$21/Calc!$N$7</f>
        <v>121.95284401225521</v>
      </c>
      <c r="I87" s="143">
        <f>'LG Invoices list'!$K$21/Calc!$N$7</f>
        <v>121.95284401225521</v>
      </c>
      <c r="J87" s="18"/>
      <c r="K87" t="s">
        <v>237</v>
      </c>
    </row>
    <row r="88" spans="1:11" x14ac:dyDescent="0.3">
      <c r="A88" s="18"/>
      <c r="B88" s="15"/>
      <c r="C88" s="15"/>
      <c r="D88" s="462">
        <f>D86*D87</f>
        <v>965689.12219446374</v>
      </c>
      <c r="E88" s="462">
        <f t="shared" ref="E88" si="48">E86*E87</f>
        <v>934206.96540218813</v>
      </c>
      <c r="F88" s="462">
        <f t="shared" ref="F88" si="49">F86*F87</f>
        <v>1002882.2317826616</v>
      </c>
      <c r="G88" s="462">
        <f t="shared" ref="G88" si="50">G86*G87</f>
        <v>1006009.26765913</v>
      </c>
      <c r="H88" s="462">
        <f t="shared" ref="H88" si="51">H86*H87</f>
        <v>900872.12281852786</v>
      </c>
      <c r="I88" s="462">
        <f t="shared" ref="I88" si="52">I86*I87</f>
        <v>877340.81129085284</v>
      </c>
      <c r="J88" s="18"/>
    </row>
    <row r="89" spans="1:11" x14ac:dyDescent="0.3">
      <c r="A89" s="18"/>
      <c r="B89" s="15"/>
      <c r="C89" s="15"/>
      <c r="D89" s="143"/>
      <c r="E89" s="143"/>
      <c r="F89" s="143"/>
      <c r="G89" s="143"/>
      <c r="H89" s="143"/>
      <c r="I89" s="143"/>
      <c r="J89" s="18"/>
    </row>
    <row r="90" spans="1:11" x14ac:dyDescent="0.3">
      <c r="A90" s="18"/>
      <c r="B90" s="15"/>
      <c r="C90" s="15"/>
      <c r="D90" s="143"/>
      <c r="E90" s="143"/>
      <c r="F90" s="143"/>
      <c r="G90" s="143"/>
      <c r="H90" s="143"/>
      <c r="I90" s="143"/>
      <c r="J90" s="18"/>
    </row>
    <row r="91" spans="1:11" x14ac:dyDescent="0.3">
      <c r="A91" s="18" t="s">
        <v>47</v>
      </c>
      <c r="B91" s="15" t="s">
        <v>49</v>
      </c>
      <c r="C91" s="15"/>
      <c r="D91" s="143">
        <f>'New connections'!O9</f>
        <v>1953.3174654577278</v>
      </c>
      <c r="E91" s="143">
        <f>'New connections'!O11</f>
        <v>2096.605985988911</v>
      </c>
      <c r="F91" s="143">
        <f>'New connections'!O13</f>
        <v>1912.9075556092225</v>
      </c>
      <c r="G91" s="143">
        <f>'New connections'!O15</f>
        <v>1998.9846608012529</v>
      </c>
      <c r="H91" s="143">
        <f>'New connections'!O17</f>
        <v>1996.8654698214784</v>
      </c>
      <c r="I91" s="143">
        <f>'New connections'!O19</f>
        <v>2017.8569862968384</v>
      </c>
      <c r="J91" s="18"/>
    </row>
    <row r="92" spans="1:11" x14ac:dyDescent="0.3">
      <c r="A92" s="18"/>
      <c r="B92" s="15" t="s">
        <v>56</v>
      </c>
      <c r="C92" s="15"/>
      <c r="D92" s="143">
        <f>'LG Invoices list'!$K$23/Calc!$N$7</f>
        <v>219.98135073930996</v>
      </c>
      <c r="E92" s="143">
        <f>'LG Invoices list'!$K$23/Calc!$N$7</f>
        <v>219.98135073930996</v>
      </c>
      <c r="F92" s="143">
        <f>'LG Invoices list'!$K$23/Calc!$N$7</f>
        <v>219.98135073930996</v>
      </c>
      <c r="G92" s="143">
        <f>'LG Invoices list'!$K$23/Calc!$N$7</f>
        <v>219.98135073930996</v>
      </c>
      <c r="H92" s="143">
        <f>'LG Invoices list'!$K$23/Calc!$N$7</f>
        <v>219.98135073930996</v>
      </c>
      <c r="I92" s="143">
        <f>'LG Invoices list'!$K$23/Calc!$N$7</f>
        <v>219.98135073930996</v>
      </c>
      <c r="J92" s="18"/>
      <c r="K92" t="s">
        <v>237</v>
      </c>
    </row>
    <row r="93" spans="1:11" x14ac:dyDescent="0.3">
      <c r="A93" s="18"/>
      <c r="B93" s="15"/>
      <c r="C93" s="15"/>
      <c r="D93" s="462">
        <f>D91*D92</f>
        <v>429693.41447407642</v>
      </c>
      <c r="E93" s="462">
        <f t="shared" ref="E93" si="53">E91*E92</f>
        <v>461214.21676596341</v>
      </c>
      <c r="F93" s="462">
        <f t="shared" ref="F93" si="54">F91*F92</f>
        <v>420803.98792234843</v>
      </c>
      <c r="G93" s="462">
        <f t="shared" ref="G93" si="55">G91*G92</f>
        <v>439739.34579022095</v>
      </c>
      <c r="H93" s="462">
        <f t="shared" ref="H93" si="56">H91*H92</f>
        <v>439273.16329601564</v>
      </c>
      <c r="I93" s="462">
        <f t="shared" ref="I93" si="57">I91*I92</f>
        <v>443890.90544433176</v>
      </c>
      <c r="J93" s="18"/>
    </row>
    <row r="94" spans="1:11" x14ac:dyDescent="0.3">
      <c r="A94" s="18"/>
      <c r="B94" s="15"/>
      <c r="C94" s="15"/>
      <c r="D94" s="143"/>
      <c r="E94" s="143"/>
      <c r="F94" s="143"/>
      <c r="G94" s="143"/>
      <c r="H94" s="143"/>
      <c r="I94" s="143"/>
      <c r="J94" s="18"/>
    </row>
    <row r="95" spans="1:11" x14ac:dyDescent="0.3">
      <c r="A95" s="18"/>
      <c r="B95" s="15"/>
      <c r="C95" s="15"/>
      <c r="D95" s="143"/>
      <c r="E95" s="143"/>
      <c r="F95" s="143"/>
      <c r="G95" s="143"/>
      <c r="H95" s="143"/>
      <c r="I95" s="143"/>
      <c r="J95" s="18"/>
    </row>
    <row r="96" spans="1:11" x14ac:dyDescent="0.3">
      <c r="A96" s="18" t="s">
        <v>48</v>
      </c>
      <c r="B96" s="15" t="s">
        <v>49</v>
      </c>
      <c r="C96" s="15"/>
      <c r="D96" s="143">
        <f>'New connections'!P9</f>
        <v>65.225012027586686</v>
      </c>
      <c r="E96" s="143">
        <f>'New connections'!P11</f>
        <v>70.535468206123454</v>
      </c>
      <c r="F96" s="143">
        <f>'New connections'!P13</f>
        <v>64.276330846145612</v>
      </c>
      <c r="G96" s="143">
        <f>'New connections'!P15</f>
        <v>67.428777238631554</v>
      </c>
      <c r="H96" s="143">
        <f>'New connections'!P17</f>
        <v>67.461671277752643</v>
      </c>
      <c r="I96" s="143">
        <f>'New connections'!P19</f>
        <v>68.611636657807765</v>
      </c>
      <c r="J96" s="18"/>
    </row>
    <row r="97" spans="1:11" x14ac:dyDescent="0.3">
      <c r="A97" s="18"/>
      <c r="B97" s="15" t="s">
        <v>56</v>
      </c>
      <c r="C97" s="15"/>
      <c r="D97" s="143">
        <f>'LG Invoices list'!$K$28/Calc!$N$7</f>
        <v>302.65085919808178</v>
      </c>
      <c r="E97" s="143">
        <f>'LG Invoices list'!$K$28/Calc!$N$7</f>
        <v>302.65085919808178</v>
      </c>
      <c r="F97" s="143">
        <f>'LG Invoices list'!$K$28/Calc!$N$7</f>
        <v>302.65085919808178</v>
      </c>
      <c r="G97" s="143">
        <f>'LG Invoices list'!$K$28/Calc!$N$7</f>
        <v>302.65085919808178</v>
      </c>
      <c r="H97" s="143">
        <f>'LG Invoices list'!$K$28/Calc!$N$7</f>
        <v>302.65085919808178</v>
      </c>
      <c r="I97" s="143">
        <f>'LG Invoices list'!$K$28/Calc!$N$7</f>
        <v>302.65085919808178</v>
      </c>
      <c r="J97" s="18"/>
      <c r="K97" t="s">
        <v>237</v>
      </c>
    </row>
    <row r="98" spans="1:11" x14ac:dyDescent="0.3">
      <c r="A98" s="18"/>
      <c r="B98" s="15"/>
      <c r="C98" s="15"/>
      <c r="D98" s="462">
        <f>D96*D97</f>
        <v>19740.405931354329</v>
      </c>
      <c r="E98" s="462">
        <f t="shared" ref="E98" si="58">E96*E97</f>
        <v>21347.620056522243</v>
      </c>
      <c r="F98" s="462">
        <f t="shared" ref="F98" si="59">F96*F97</f>
        <v>19453.286756686135</v>
      </c>
      <c r="G98" s="462">
        <f t="shared" ref="G98" si="60">G96*G97</f>
        <v>20407.377365947901</v>
      </c>
      <c r="H98" s="462">
        <f t="shared" ref="H98" si="61">H96*H97</f>
        <v>20417.332775150393</v>
      </c>
      <c r="I98" s="462">
        <f t="shared" ref="I98" si="62">I96*I97</f>
        <v>20765.370785472125</v>
      </c>
      <c r="J98" s="18"/>
    </row>
    <row r="99" spans="1:11" x14ac:dyDescent="0.3">
      <c r="A99" s="18"/>
      <c r="B99" s="15"/>
      <c r="C99" s="15"/>
      <c r="D99" s="143"/>
      <c r="E99" s="143"/>
      <c r="F99" s="143"/>
      <c r="G99" s="143"/>
      <c r="H99" s="143"/>
      <c r="I99" s="143"/>
      <c r="J99" s="18"/>
    </row>
    <row r="100" spans="1:11" x14ac:dyDescent="0.3">
      <c r="A100" s="18"/>
      <c r="B100" s="15"/>
      <c r="C100" s="15"/>
      <c r="D100" s="143"/>
      <c r="E100" s="143"/>
      <c r="F100" s="143"/>
      <c r="G100" s="143"/>
      <c r="H100" s="143"/>
      <c r="I100" s="143"/>
      <c r="J100" s="18"/>
    </row>
    <row r="101" spans="1:11" x14ac:dyDescent="0.3">
      <c r="A101" s="25" t="s">
        <v>61</v>
      </c>
      <c r="B101" s="15"/>
      <c r="C101" s="15"/>
      <c r="D101" s="469">
        <f>SUM(D84,D88,D93,D98)</f>
        <v>2024967.3592780468</v>
      </c>
      <c r="E101" s="469">
        <f t="shared" ref="E101:I101" si="63">SUM(E84,E88,E93,E98)</f>
        <v>2071363.783948804</v>
      </c>
      <c r="F101" s="469">
        <f t="shared" si="63"/>
        <v>2040492.8571596832</v>
      </c>
      <c r="G101" s="469">
        <f t="shared" si="63"/>
        <v>2090503.9033219649</v>
      </c>
      <c r="H101" s="469">
        <f t="shared" si="63"/>
        <v>1984111.2831802927</v>
      </c>
      <c r="I101" s="469">
        <f t="shared" si="63"/>
        <v>1972066.0378802945</v>
      </c>
      <c r="J101" s="18"/>
    </row>
    <row r="102" spans="1:11" x14ac:dyDescent="0.3">
      <c r="A102" s="25"/>
      <c r="B102" s="15"/>
      <c r="C102" s="15"/>
      <c r="D102" s="469"/>
      <c r="E102" s="469"/>
      <c r="F102" s="469"/>
      <c r="G102" s="469"/>
      <c r="H102" s="469"/>
      <c r="I102" s="469"/>
      <c r="J102" s="18"/>
    </row>
    <row r="103" spans="1:11" x14ac:dyDescent="0.3">
      <c r="A103" s="25"/>
      <c r="B103" s="15"/>
      <c r="C103" s="15"/>
      <c r="D103" s="469"/>
      <c r="E103" s="469"/>
      <c r="F103" s="469"/>
      <c r="G103" s="469"/>
      <c r="H103" s="469"/>
      <c r="I103" s="469"/>
      <c r="J103" s="18"/>
    </row>
    <row r="104" spans="1:11" x14ac:dyDescent="0.3">
      <c r="A104" s="18"/>
      <c r="B104" s="15"/>
      <c r="C104" s="15"/>
      <c r="D104" s="143"/>
      <c r="E104" s="143"/>
      <c r="F104" s="143"/>
      <c r="G104" s="143"/>
      <c r="H104" s="143"/>
      <c r="I104" s="143"/>
      <c r="J104" s="18"/>
    </row>
    <row r="105" spans="1:11" x14ac:dyDescent="0.3">
      <c r="A105" s="25" t="s">
        <v>57</v>
      </c>
      <c r="B105" s="15"/>
      <c r="C105" s="15"/>
      <c r="D105" s="143"/>
      <c r="E105" s="143"/>
      <c r="F105" s="143"/>
      <c r="G105" s="143"/>
      <c r="H105" s="143"/>
      <c r="I105" s="143"/>
      <c r="J105" s="18"/>
    </row>
    <row r="106" spans="1:11" x14ac:dyDescent="0.3">
      <c r="A106" s="18"/>
      <c r="B106" s="15"/>
      <c r="C106" s="15"/>
      <c r="D106" s="143"/>
      <c r="E106" s="143"/>
      <c r="F106" s="143"/>
      <c r="G106" s="143"/>
      <c r="H106" s="143"/>
      <c r="I106" s="143"/>
      <c r="J106" s="18"/>
    </row>
    <row r="107" spans="1:11" x14ac:dyDescent="0.3">
      <c r="A107" s="18" t="s">
        <v>45</v>
      </c>
      <c r="B107" s="15" t="s">
        <v>49</v>
      </c>
      <c r="C107" s="15"/>
      <c r="D107" s="143">
        <f>'Meter replacement volume'!C3</f>
        <v>780</v>
      </c>
      <c r="E107" s="143">
        <f>'Meter replacement volume'!D3</f>
        <v>764</v>
      </c>
      <c r="F107" s="143">
        <f>'Meter replacement volume'!E3</f>
        <v>749</v>
      </c>
      <c r="G107" s="143">
        <f>'Meter replacement volume'!F3</f>
        <v>728</v>
      </c>
      <c r="H107" s="143">
        <f>'Meter replacement volume'!G3</f>
        <v>713</v>
      </c>
      <c r="I107" s="143">
        <f>'Meter replacement volume'!H3</f>
        <v>713</v>
      </c>
      <c r="J107" s="18"/>
    </row>
    <row r="108" spans="1:11" x14ac:dyDescent="0.3">
      <c r="A108" s="18"/>
      <c r="B108" s="15" t="s">
        <v>56</v>
      </c>
      <c r="C108" s="15"/>
      <c r="D108" s="143">
        <v>90.161012578757223</v>
      </c>
      <c r="E108" s="143">
        <f>D108</f>
        <v>90.161012578757223</v>
      </c>
      <c r="F108" s="143">
        <f t="shared" ref="F108:I108" si="64">E108</f>
        <v>90.161012578757223</v>
      </c>
      <c r="G108" s="143">
        <f t="shared" si="64"/>
        <v>90.161012578757223</v>
      </c>
      <c r="H108" s="143">
        <f t="shared" si="64"/>
        <v>90.161012578757223</v>
      </c>
      <c r="I108" s="143">
        <f t="shared" si="64"/>
        <v>90.161012578757223</v>
      </c>
      <c r="J108" s="18"/>
      <c r="K108" t="s">
        <v>373</v>
      </c>
    </row>
    <row r="109" spans="1:11" x14ac:dyDescent="0.3">
      <c r="A109" s="18"/>
      <c r="B109" s="15"/>
      <c r="C109" s="15"/>
      <c r="D109" s="462">
        <f>D107*D108</f>
        <v>70325.589811430633</v>
      </c>
      <c r="E109" s="462">
        <f t="shared" ref="E109:I109" si="65">E107*E108</f>
        <v>68883.013610170514</v>
      </c>
      <c r="F109" s="462">
        <f t="shared" si="65"/>
        <v>67530.598421489165</v>
      </c>
      <c r="G109" s="462">
        <f t="shared" si="65"/>
        <v>65637.217157335253</v>
      </c>
      <c r="H109" s="462">
        <f t="shared" si="65"/>
        <v>64284.801968653897</v>
      </c>
      <c r="I109" s="462">
        <f t="shared" si="65"/>
        <v>64284.801968653897</v>
      </c>
      <c r="J109" s="18"/>
    </row>
    <row r="110" spans="1:11" x14ac:dyDescent="0.3">
      <c r="A110" s="18"/>
      <c r="B110" s="15"/>
      <c r="C110" s="15"/>
      <c r="D110" s="143"/>
      <c r="E110" s="143"/>
      <c r="F110" s="143"/>
      <c r="G110" s="143"/>
      <c r="H110" s="143"/>
      <c r="I110" s="143"/>
      <c r="J110" s="18"/>
    </row>
    <row r="111" spans="1:11" x14ac:dyDescent="0.3">
      <c r="A111" s="18" t="s">
        <v>46</v>
      </c>
      <c r="B111" s="15" t="s">
        <v>49</v>
      </c>
      <c r="C111" s="15"/>
      <c r="D111" s="143">
        <f>'Meter replacement volume'!C4</f>
        <v>2069</v>
      </c>
      <c r="E111" s="143">
        <f>'Meter replacement volume'!D4</f>
        <v>2022</v>
      </c>
      <c r="F111" s="143">
        <f>'Meter replacement volume'!E4</f>
        <v>1974</v>
      </c>
      <c r="G111" s="143">
        <f>'Meter replacement volume'!F4</f>
        <v>1934</v>
      </c>
      <c r="H111" s="143">
        <f>'Meter replacement volume'!G4</f>
        <v>1895</v>
      </c>
      <c r="I111" s="143">
        <f>'Meter replacement volume'!H4</f>
        <v>1895</v>
      </c>
      <c r="J111" s="18"/>
    </row>
    <row r="112" spans="1:11" x14ac:dyDescent="0.3">
      <c r="A112" s="18"/>
      <c r="B112" s="15" t="s">
        <v>56</v>
      </c>
      <c r="C112" s="15"/>
      <c r="D112" s="143">
        <f>'LG Invoices list'!$K$21/Calc!$N$7</f>
        <v>121.95284401225521</v>
      </c>
      <c r="E112" s="143">
        <f>'LG Invoices list'!$K$21/Calc!$N$7</f>
        <v>121.95284401225521</v>
      </c>
      <c r="F112" s="143">
        <f>'LG Invoices list'!$K$21/Calc!$N$7</f>
        <v>121.95284401225521</v>
      </c>
      <c r="G112" s="143">
        <f>'LG Invoices list'!$K$21/Calc!$N$7</f>
        <v>121.95284401225521</v>
      </c>
      <c r="H112" s="143">
        <f>'LG Invoices list'!$K$21/Calc!$N$7</f>
        <v>121.95284401225521</v>
      </c>
      <c r="I112" s="143">
        <f>'LG Invoices list'!$K$21/Calc!$N$7</f>
        <v>121.95284401225521</v>
      </c>
      <c r="J112" s="18"/>
      <c r="K112" t="s">
        <v>237</v>
      </c>
    </row>
    <row r="113" spans="1:11" x14ac:dyDescent="0.3">
      <c r="A113" s="18"/>
      <c r="B113" s="15"/>
      <c r="C113" s="15"/>
      <c r="D113" s="462">
        <f>D111*D112</f>
        <v>252320.43426135604</v>
      </c>
      <c r="E113" s="462">
        <f t="shared" ref="E113:I113" si="66">E111*E112</f>
        <v>246588.65059278003</v>
      </c>
      <c r="F113" s="462">
        <f t="shared" si="66"/>
        <v>240734.91408019178</v>
      </c>
      <c r="G113" s="462">
        <f t="shared" si="66"/>
        <v>235856.80031970158</v>
      </c>
      <c r="H113" s="462">
        <f t="shared" si="66"/>
        <v>231100.63940322364</v>
      </c>
      <c r="I113" s="462">
        <f t="shared" si="66"/>
        <v>231100.63940322364</v>
      </c>
      <c r="J113" s="18"/>
    </row>
    <row r="114" spans="1:11" x14ac:dyDescent="0.3">
      <c r="A114" s="18"/>
      <c r="B114" s="15"/>
      <c r="C114" s="15"/>
      <c r="D114" s="143"/>
      <c r="E114" s="143"/>
      <c r="F114" s="143"/>
      <c r="G114" s="143"/>
      <c r="H114" s="143"/>
      <c r="I114" s="143"/>
      <c r="J114" s="18"/>
    </row>
    <row r="115" spans="1:11" x14ac:dyDescent="0.3">
      <c r="A115" s="18" t="s">
        <v>58</v>
      </c>
      <c r="B115" s="15" t="s">
        <v>49</v>
      </c>
      <c r="C115" s="15"/>
      <c r="D115" s="143">
        <f>'Meter replacement volume'!C5</f>
        <v>300</v>
      </c>
      <c r="E115" s="143">
        <f>'Meter replacement volume'!D5</f>
        <v>300</v>
      </c>
      <c r="F115" s="143">
        <f>'Meter replacement volume'!E5</f>
        <v>300</v>
      </c>
      <c r="G115" s="143">
        <f>'Meter replacement volume'!F5</f>
        <v>300</v>
      </c>
      <c r="H115" s="143">
        <f>'Meter replacement volume'!G5</f>
        <v>300</v>
      </c>
      <c r="I115" s="143">
        <f>'Meter replacement volume'!H5</f>
        <v>300</v>
      </c>
      <c r="J115" s="18"/>
    </row>
    <row r="116" spans="1:11" x14ac:dyDescent="0.3">
      <c r="A116" s="18"/>
      <c r="B116" s="15" t="s">
        <v>56</v>
      </c>
      <c r="C116" s="15"/>
      <c r="D116" s="143">
        <f>'LG Invoices list'!$K$22/Calc!$N$7</f>
        <v>141.26814972692154</v>
      </c>
      <c r="E116" s="143">
        <f>'LG Invoices list'!$K$22/Calc!$N$7</f>
        <v>141.26814972692154</v>
      </c>
      <c r="F116" s="143">
        <f>'LG Invoices list'!$K$22/Calc!$N$7</f>
        <v>141.26814972692154</v>
      </c>
      <c r="G116" s="143">
        <f>'LG Invoices list'!$K$22/Calc!$N$7</f>
        <v>141.26814972692154</v>
      </c>
      <c r="H116" s="143">
        <f>'LG Invoices list'!$K$22/Calc!$N$7</f>
        <v>141.26814972692154</v>
      </c>
      <c r="I116" s="143">
        <f>'LG Invoices list'!$K$22/Calc!$N$7</f>
        <v>141.26814972692154</v>
      </c>
      <c r="J116" s="18"/>
      <c r="K116" t="s">
        <v>237</v>
      </c>
    </row>
    <row r="117" spans="1:11" x14ac:dyDescent="0.3">
      <c r="A117" s="18"/>
      <c r="B117" s="15"/>
      <c r="C117" s="15"/>
      <c r="D117" s="462">
        <f>D115*D116</f>
        <v>42380.444918076464</v>
      </c>
      <c r="E117" s="462">
        <f t="shared" ref="E117:I117" si="67">E115*E116</f>
        <v>42380.444918076464</v>
      </c>
      <c r="F117" s="462">
        <f t="shared" si="67"/>
        <v>42380.444918076464</v>
      </c>
      <c r="G117" s="462">
        <f t="shared" si="67"/>
        <v>42380.444918076464</v>
      </c>
      <c r="H117" s="462">
        <f t="shared" si="67"/>
        <v>42380.444918076464</v>
      </c>
      <c r="I117" s="462">
        <f t="shared" si="67"/>
        <v>42380.444918076464</v>
      </c>
      <c r="J117" s="18"/>
    </row>
    <row r="118" spans="1:11" x14ac:dyDescent="0.3">
      <c r="A118" s="18"/>
      <c r="B118" s="15"/>
      <c r="C118" s="15"/>
      <c r="D118" s="143"/>
      <c r="E118" s="143"/>
      <c r="F118" s="143"/>
      <c r="G118" s="143"/>
      <c r="H118" s="143"/>
      <c r="I118" s="143"/>
      <c r="J118" s="18"/>
    </row>
    <row r="119" spans="1:11" x14ac:dyDescent="0.3">
      <c r="A119" s="18" t="s">
        <v>47</v>
      </c>
      <c r="B119" s="15" t="s">
        <v>49</v>
      </c>
      <c r="C119" s="15"/>
      <c r="D119" s="143">
        <f>'Meter replacement volume'!C6</f>
        <v>1734</v>
      </c>
      <c r="E119" s="143">
        <f>'Meter replacement volume'!D6</f>
        <v>1699</v>
      </c>
      <c r="F119" s="143">
        <f>'Meter replacement volume'!E6</f>
        <v>1665</v>
      </c>
      <c r="G119" s="143">
        <f>'Meter replacement volume'!F6</f>
        <v>1631</v>
      </c>
      <c r="H119" s="143">
        <f>'Meter replacement volume'!G6</f>
        <v>1598</v>
      </c>
      <c r="I119" s="143">
        <f>'Meter replacement volume'!H6</f>
        <v>1598</v>
      </c>
      <c r="J119" s="18"/>
    </row>
    <row r="120" spans="1:11" x14ac:dyDescent="0.3">
      <c r="A120" s="18"/>
      <c r="B120" s="15" t="s">
        <v>56</v>
      </c>
      <c r="C120" s="15"/>
      <c r="D120" s="143">
        <f>'LG Invoices list'!$K$23/Calc!$N$7</f>
        <v>219.98135073930996</v>
      </c>
      <c r="E120" s="143">
        <f>'LG Invoices list'!$K$23/Calc!$N$7</f>
        <v>219.98135073930996</v>
      </c>
      <c r="F120" s="143">
        <f>'LG Invoices list'!$K$23/Calc!$N$7</f>
        <v>219.98135073930996</v>
      </c>
      <c r="G120" s="143">
        <f>'LG Invoices list'!$K$23/Calc!$N$7</f>
        <v>219.98135073930996</v>
      </c>
      <c r="H120" s="143">
        <f>'LG Invoices list'!$K$23/Calc!$N$7</f>
        <v>219.98135073930996</v>
      </c>
      <c r="I120" s="143">
        <f>'LG Invoices list'!$K$23/Calc!$N$7</f>
        <v>219.98135073930996</v>
      </c>
      <c r="J120" s="18"/>
      <c r="K120" t="s">
        <v>237</v>
      </c>
    </row>
    <row r="121" spans="1:11" x14ac:dyDescent="0.3">
      <c r="A121" s="18"/>
      <c r="B121" s="15"/>
      <c r="C121" s="15"/>
      <c r="D121" s="462">
        <f>D119*D120</f>
        <v>381447.66218196345</v>
      </c>
      <c r="E121" s="462">
        <f t="shared" ref="E121:I121" si="68">E119*E120</f>
        <v>373748.31490608765</v>
      </c>
      <c r="F121" s="462">
        <f t="shared" si="68"/>
        <v>366268.9489809511</v>
      </c>
      <c r="G121" s="462">
        <f t="shared" si="68"/>
        <v>358789.58305581455</v>
      </c>
      <c r="H121" s="462">
        <f t="shared" si="68"/>
        <v>351530.19848141732</v>
      </c>
      <c r="I121" s="462">
        <f t="shared" si="68"/>
        <v>351530.19848141732</v>
      </c>
      <c r="J121" s="18"/>
    </row>
    <row r="122" spans="1:11" x14ac:dyDescent="0.3">
      <c r="A122" s="18"/>
      <c r="B122" s="15"/>
      <c r="C122" s="15"/>
      <c r="D122" s="143"/>
      <c r="E122" s="143"/>
      <c r="F122" s="143"/>
      <c r="G122" s="143"/>
      <c r="H122" s="143"/>
      <c r="I122" s="143"/>
      <c r="J122" s="18"/>
    </row>
    <row r="123" spans="1:11" x14ac:dyDescent="0.3">
      <c r="A123" s="18"/>
      <c r="B123" s="15"/>
      <c r="C123" s="15"/>
      <c r="D123" s="143"/>
      <c r="E123" s="143"/>
      <c r="F123" s="143"/>
      <c r="G123" s="143"/>
      <c r="H123" s="143"/>
      <c r="I123" s="143"/>
      <c r="J123" s="18"/>
    </row>
    <row r="124" spans="1:11" x14ac:dyDescent="0.3">
      <c r="A124" s="18" t="s">
        <v>48</v>
      </c>
      <c r="B124" s="15" t="s">
        <v>49</v>
      </c>
      <c r="C124" s="15"/>
      <c r="D124" s="143">
        <f>'Meter replacement volume'!C7</f>
        <v>123</v>
      </c>
      <c r="E124" s="143">
        <f>'Meter replacement volume'!D7</f>
        <v>120</v>
      </c>
      <c r="F124" s="143">
        <f>'Meter replacement volume'!E7</f>
        <v>118</v>
      </c>
      <c r="G124" s="143">
        <f>'Meter replacement volume'!F7</f>
        <v>115</v>
      </c>
      <c r="H124" s="143">
        <f>'Meter replacement volume'!G7</f>
        <v>107</v>
      </c>
      <c r="I124" s="143">
        <f>'Meter replacement volume'!H7</f>
        <v>107</v>
      </c>
      <c r="J124" s="18"/>
    </row>
    <row r="125" spans="1:11" x14ac:dyDescent="0.3">
      <c r="A125" s="18"/>
      <c r="B125" s="15" t="s">
        <v>56</v>
      </c>
      <c r="C125" s="15"/>
      <c r="D125" s="143">
        <f>'LG Invoices list'!$K$28/Calc!$N$7</f>
        <v>302.65085919808178</v>
      </c>
      <c r="E125" s="143">
        <f>'LG Invoices list'!$K$28/Calc!$N$7</f>
        <v>302.65085919808178</v>
      </c>
      <c r="F125" s="143">
        <f>'LG Invoices list'!$K$28/Calc!$N$7</f>
        <v>302.65085919808178</v>
      </c>
      <c r="G125" s="143">
        <f>'LG Invoices list'!$K$28/Calc!$N$7</f>
        <v>302.65085919808178</v>
      </c>
      <c r="H125" s="143">
        <f>'LG Invoices list'!$K$28/Calc!$N$7</f>
        <v>302.65085919808178</v>
      </c>
      <c r="I125" s="143">
        <f>'LG Invoices list'!$K$28/Calc!$N$7</f>
        <v>302.65085919808178</v>
      </c>
      <c r="J125" s="18"/>
      <c r="K125" t="s">
        <v>237</v>
      </c>
    </row>
    <row r="126" spans="1:11" x14ac:dyDescent="0.3">
      <c r="A126" s="18"/>
      <c r="B126" s="15"/>
      <c r="C126" s="15"/>
      <c r="D126" s="462">
        <f>D124*D125</f>
        <v>37226.055681364058</v>
      </c>
      <c r="E126" s="462">
        <f t="shared" ref="E126:I126" si="69">E124*E125</f>
        <v>36318.103103769812</v>
      </c>
      <c r="F126" s="462">
        <f t="shared" si="69"/>
        <v>35712.801385373648</v>
      </c>
      <c r="G126" s="462">
        <f t="shared" si="69"/>
        <v>34804.848807779403</v>
      </c>
      <c r="H126" s="462">
        <f t="shared" si="69"/>
        <v>32383.641934194751</v>
      </c>
      <c r="I126" s="462">
        <f t="shared" si="69"/>
        <v>32383.641934194751</v>
      </c>
      <c r="J126" s="18"/>
    </row>
    <row r="127" spans="1:11" x14ac:dyDescent="0.3">
      <c r="A127" s="18"/>
      <c r="B127" s="15"/>
      <c r="C127" s="15"/>
      <c r="D127" s="143"/>
      <c r="E127" s="143"/>
      <c r="F127" s="143"/>
      <c r="G127" s="143"/>
      <c r="H127" s="143"/>
      <c r="I127" s="143"/>
      <c r="J127" s="18"/>
    </row>
    <row r="128" spans="1:11" x14ac:dyDescent="0.3">
      <c r="A128" s="18" t="s">
        <v>59</v>
      </c>
      <c r="B128" s="15" t="s">
        <v>49</v>
      </c>
      <c r="C128" s="15"/>
      <c r="D128" s="143">
        <f>SUM(D107,D111,D115,D119,D124)</f>
        <v>5006</v>
      </c>
      <c r="E128" s="143">
        <f t="shared" ref="E128:I128" si="70">SUM(E107,E111,E115,E119,E124)</f>
        <v>4905</v>
      </c>
      <c r="F128" s="143">
        <f t="shared" si="70"/>
        <v>4806</v>
      </c>
      <c r="G128" s="143">
        <f t="shared" si="70"/>
        <v>4708</v>
      </c>
      <c r="H128" s="143">
        <f t="shared" si="70"/>
        <v>4613</v>
      </c>
      <c r="I128" s="143">
        <f t="shared" si="70"/>
        <v>4613</v>
      </c>
      <c r="J128" s="18"/>
    </row>
    <row r="129" spans="1:11" x14ac:dyDescent="0.3">
      <c r="A129" s="18"/>
      <c r="B129" s="15" t="s">
        <v>60</v>
      </c>
      <c r="C129" s="15"/>
      <c r="D129" s="143">
        <v>322</v>
      </c>
      <c r="E129" s="143">
        <f>D129</f>
        <v>322</v>
      </c>
      <c r="F129" s="143">
        <f>D129</f>
        <v>322</v>
      </c>
      <c r="G129" s="143">
        <f>D129</f>
        <v>322</v>
      </c>
      <c r="H129" s="143">
        <f>D129</f>
        <v>322</v>
      </c>
      <c r="I129" s="143">
        <f>D129</f>
        <v>322</v>
      </c>
      <c r="J129" s="18"/>
      <c r="K129" t="s">
        <v>238</v>
      </c>
    </row>
    <row r="130" spans="1:11" x14ac:dyDescent="0.3">
      <c r="A130" s="18"/>
      <c r="B130" s="15"/>
      <c r="C130" s="15"/>
      <c r="D130" s="462">
        <f>D128*D129</f>
        <v>1611932</v>
      </c>
      <c r="E130" s="462">
        <f t="shared" ref="E130:I130" si="71">E128*E129</f>
        <v>1579410</v>
      </c>
      <c r="F130" s="462">
        <f t="shared" si="71"/>
        <v>1547532</v>
      </c>
      <c r="G130" s="462">
        <f t="shared" si="71"/>
        <v>1515976</v>
      </c>
      <c r="H130" s="462">
        <f t="shared" si="71"/>
        <v>1485386</v>
      </c>
      <c r="I130" s="462">
        <f t="shared" si="71"/>
        <v>1485386</v>
      </c>
      <c r="J130" s="18"/>
    </row>
    <row r="131" spans="1:11" x14ac:dyDescent="0.3">
      <c r="A131" s="18"/>
      <c r="B131" s="15"/>
      <c r="C131" s="15"/>
      <c r="D131" s="143"/>
      <c r="E131" s="143"/>
      <c r="F131" s="143"/>
      <c r="G131" s="143"/>
      <c r="H131" s="143"/>
      <c r="I131" s="143"/>
      <c r="J131" s="18"/>
    </row>
    <row r="132" spans="1:11" x14ac:dyDescent="0.3">
      <c r="A132" s="25" t="s">
        <v>62</v>
      </c>
      <c r="B132" s="15"/>
      <c r="C132" s="15"/>
      <c r="D132" s="469">
        <f>SUM(D109,D113,D117,D121,D126,D130)</f>
        <v>2395632.1868541907</v>
      </c>
      <c r="E132" s="469">
        <f t="shared" ref="E132:I132" si="72">SUM(E109,E113,E117,E121,E126,E130)</f>
        <v>2347328.5271308846</v>
      </c>
      <c r="F132" s="469">
        <f t="shared" si="72"/>
        <v>2300159.7077860823</v>
      </c>
      <c r="G132" s="469">
        <f t="shared" si="72"/>
        <v>2253444.8942587073</v>
      </c>
      <c r="H132" s="469">
        <f t="shared" si="72"/>
        <v>2207065.726705566</v>
      </c>
      <c r="I132" s="469">
        <f t="shared" si="72"/>
        <v>2207065.726705566</v>
      </c>
      <c r="J132" s="18"/>
    </row>
    <row r="133" spans="1:11" x14ac:dyDescent="0.3">
      <c r="A133" s="18"/>
      <c r="B133" s="15"/>
      <c r="C133" s="15"/>
      <c r="D133" s="143"/>
      <c r="E133" s="143"/>
      <c r="F133" s="143"/>
      <c r="G133" s="143"/>
      <c r="H133" s="143"/>
      <c r="I133" s="144"/>
    </row>
    <row r="134" spans="1:11" x14ac:dyDescent="0.3">
      <c r="A134" s="25" t="s">
        <v>63</v>
      </c>
      <c r="B134" s="15"/>
      <c r="C134" s="15"/>
      <c r="D134" s="143">
        <f>D101+D132</f>
        <v>4420599.5461322377</v>
      </c>
      <c r="E134" s="143">
        <f t="shared" ref="E134:I134" si="73">E101+E132</f>
        <v>4418692.3110796884</v>
      </c>
      <c r="F134" s="143">
        <f t="shared" si="73"/>
        <v>4340652.5649457658</v>
      </c>
      <c r="G134" s="143">
        <f t="shared" si="73"/>
        <v>4343948.7975806724</v>
      </c>
      <c r="H134" s="143">
        <f t="shared" si="73"/>
        <v>4191177.0098858587</v>
      </c>
      <c r="I134" s="144">
        <f t="shared" si="73"/>
        <v>4179131.7645858605</v>
      </c>
    </row>
    <row r="135" spans="1:11" x14ac:dyDescent="0.3">
      <c r="A135" s="14" t="s">
        <v>64</v>
      </c>
      <c r="B135" s="15"/>
      <c r="C135" s="15"/>
      <c r="D135" s="143">
        <f t="shared" ref="D135:I135" si="74">SUM(D84,D88,D93,D98,D109,D113,D121,D126,D117)</f>
        <v>2808667.5461322372</v>
      </c>
      <c r="E135" s="143">
        <f t="shared" si="74"/>
        <v>2839282.3110796888</v>
      </c>
      <c r="F135" s="143">
        <f t="shared" si="74"/>
        <v>2793120.5649457658</v>
      </c>
      <c r="G135" s="143">
        <f t="shared" si="74"/>
        <v>2827972.7975806724</v>
      </c>
      <c r="H135" s="143">
        <f t="shared" si="74"/>
        <v>2705791.0098858587</v>
      </c>
      <c r="I135" s="144">
        <f t="shared" si="74"/>
        <v>2693745.7645858605</v>
      </c>
    </row>
    <row r="136" spans="1:11" x14ac:dyDescent="0.3">
      <c r="A136" s="14" t="s">
        <v>36</v>
      </c>
      <c r="B136" s="15"/>
      <c r="C136" s="15"/>
      <c r="D136" s="143">
        <f>SUM(D130)</f>
        <v>1611932</v>
      </c>
      <c r="E136" s="143">
        <f t="shared" ref="E136:I136" si="75">SUM(E130)</f>
        <v>1579410</v>
      </c>
      <c r="F136" s="143">
        <f t="shared" si="75"/>
        <v>1547532</v>
      </c>
      <c r="G136" s="143">
        <f t="shared" si="75"/>
        <v>1515976</v>
      </c>
      <c r="H136" s="143">
        <f t="shared" si="75"/>
        <v>1485386</v>
      </c>
      <c r="I136" s="144">
        <f t="shared" si="75"/>
        <v>1485386</v>
      </c>
    </row>
    <row r="137" spans="1:11" ht="15" thickBot="1" x14ac:dyDescent="0.35">
      <c r="A137" s="26"/>
      <c r="B137" s="27"/>
      <c r="C137" s="27"/>
      <c r="D137" s="30"/>
      <c r="E137" s="30"/>
      <c r="F137" s="30"/>
      <c r="G137" s="30"/>
      <c r="H137" s="30"/>
      <c r="I137" s="31"/>
    </row>
  </sheetData>
  <printOptions gridLines="1"/>
  <pageMargins left="0.70866141732283472" right="0.70866141732283472" top="0.74803149606299213" bottom="0.74803149606299213" header="0.31496062992125984" footer="0.31496062992125984"/>
  <pageSetup paperSize="9" scale="1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O22"/>
  <sheetViews>
    <sheetView workbookViewId="0">
      <selection activeCell="M10" sqref="M10"/>
    </sheetView>
  </sheetViews>
  <sheetFormatPr defaultRowHeight="14.4" x14ac:dyDescent="0.3"/>
  <cols>
    <col min="1" max="1" width="28.109375" bestFit="1" customWidth="1"/>
  </cols>
  <sheetData>
    <row r="3" spans="1:14" s="5" customFormat="1" x14ac:dyDescent="0.3">
      <c r="B3" s="571" t="s">
        <v>65</v>
      </c>
      <c r="C3" s="572"/>
      <c r="D3" s="572"/>
      <c r="E3" s="573"/>
      <c r="F3" s="35"/>
      <c r="G3" s="36"/>
      <c r="H3" s="36"/>
      <c r="I3" s="571" t="s">
        <v>66</v>
      </c>
      <c r="J3" s="572"/>
      <c r="K3" s="572"/>
      <c r="L3" s="572"/>
      <c r="M3" s="572"/>
      <c r="N3" s="573"/>
    </row>
    <row r="4" spans="1:14" x14ac:dyDescent="0.3">
      <c r="A4" s="8" t="s">
        <v>67</v>
      </c>
      <c r="B4" s="37">
        <v>2011</v>
      </c>
      <c r="C4" s="38">
        <v>2012</v>
      </c>
      <c r="D4" s="38">
        <v>2013</v>
      </c>
      <c r="E4" s="39">
        <v>2014</v>
      </c>
      <c r="F4" s="40"/>
      <c r="G4" s="36" t="s">
        <v>68</v>
      </c>
      <c r="H4" s="41"/>
      <c r="I4" s="42">
        <v>2015</v>
      </c>
      <c r="J4" s="35">
        <v>2016</v>
      </c>
      <c r="K4" s="35">
        <v>2017</v>
      </c>
      <c r="L4" s="35">
        <v>2018</v>
      </c>
      <c r="M4" s="35">
        <v>2019</v>
      </c>
      <c r="N4" s="43">
        <v>2020</v>
      </c>
    </row>
    <row r="5" spans="1:14" x14ac:dyDescent="0.3">
      <c r="A5" s="8"/>
      <c r="B5" s="44"/>
      <c r="C5" s="45"/>
      <c r="D5" s="45"/>
      <c r="E5" s="46"/>
      <c r="F5" s="47"/>
      <c r="G5" s="48"/>
      <c r="I5" s="49"/>
      <c r="J5" s="19"/>
      <c r="K5" s="19"/>
      <c r="L5" s="19"/>
      <c r="M5" s="19"/>
      <c r="N5" s="50"/>
    </row>
    <row r="6" spans="1:14" x14ac:dyDescent="0.3">
      <c r="A6" s="51" t="s">
        <v>69</v>
      </c>
      <c r="B6" s="52">
        <v>59990</v>
      </c>
      <c r="C6" s="53">
        <v>61957</v>
      </c>
      <c r="D6" s="53">
        <v>63932</v>
      </c>
      <c r="E6" s="54">
        <v>69283</v>
      </c>
      <c r="F6" s="47"/>
      <c r="G6" s="55">
        <f>AVERAGE(B6:E6)</f>
        <v>63790.5</v>
      </c>
      <c r="I6" s="56">
        <f>$G$6</f>
        <v>63790.5</v>
      </c>
      <c r="J6" s="57">
        <f t="shared" ref="J6:N7" si="0">$G$6</f>
        <v>63790.5</v>
      </c>
      <c r="K6" s="15"/>
      <c r="L6" s="15"/>
      <c r="M6" s="15"/>
      <c r="N6" s="58"/>
    </row>
    <row r="7" spans="1:14" x14ac:dyDescent="0.3">
      <c r="A7" s="51" t="s">
        <v>70</v>
      </c>
      <c r="B7" s="52"/>
      <c r="C7" s="53"/>
      <c r="D7" s="53"/>
      <c r="E7" s="54"/>
      <c r="F7" s="47"/>
      <c r="G7" s="55"/>
      <c r="I7" s="56"/>
      <c r="J7" s="57"/>
      <c r="K7" s="57">
        <f t="shared" si="0"/>
        <v>63790.5</v>
      </c>
      <c r="L7" s="57">
        <f t="shared" si="0"/>
        <v>63790.5</v>
      </c>
      <c r="M7" s="57">
        <f t="shared" si="0"/>
        <v>63790.5</v>
      </c>
      <c r="N7" s="59">
        <f t="shared" si="0"/>
        <v>63790.5</v>
      </c>
    </row>
    <row r="8" spans="1:14" x14ac:dyDescent="0.3">
      <c r="A8" s="51" t="s">
        <v>71</v>
      </c>
      <c r="B8" s="52">
        <v>103347</v>
      </c>
      <c r="C8" s="53">
        <v>100763</v>
      </c>
      <c r="D8" s="53">
        <v>104358</v>
      </c>
      <c r="E8" s="54">
        <v>107894</v>
      </c>
      <c r="F8" s="47"/>
      <c r="G8" s="55">
        <f t="shared" ref="G8:G12" si="1">AVERAGE(B8:E8)</f>
        <v>104090.5</v>
      </c>
      <c r="I8" s="56">
        <f>$G$8</f>
        <v>104090.5</v>
      </c>
      <c r="J8" s="57">
        <f t="shared" ref="J8:N9" si="2">$G$8</f>
        <v>104090.5</v>
      </c>
      <c r="K8" s="15"/>
      <c r="L8" s="15"/>
      <c r="M8" s="15"/>
      <c r="N8" s="58"/>
    </row>
    <row r="9" spans="1:14" x14ac:dyDescent="0.3">
      <c r="A9" s="51" t="s">
        <v>72</v>
      </c>
      <c r="B9" s="52"/>
      <c r="C9" s="53"/>
      <c r="D9" s="53"/>
      <c r="E9" s="54"/>
      <c r="F9" s="47"/>
      <c r="G9" s="55"/>
      <c r="I9" s="56"/>
      <c r="J9" s="57"/>
      <c r="K9" s="57">
        <f t="shared" si="2"/>
        <v>104090.5</v>
      </c>
      <c r="L9" s="57">
        <f t="shared" si="2"/>
        <v>104090.5</v>
      </c>
      <c r="M9" s="57">
        <f t="shared" si="2"/>
        <v>104090.5</v>
      </c>
      <c r="N9" s="59">
        <f t="shared" si="2"/>
        <v>104090.5</v>
      </c>
    </row>
    <row r="10" spans="1:14" x14ac:dyDescent="0.3">
      <c r="A10" s="51" t="s">
        <v>73</v>
      </c>
      <c r="B10" s="52">
        <v>35664</v>
      </c>
      <c r="C10" s="53">
        <v>54895</v>
      </c>
      <c r="D10" s="53">
        <v>58792</v>
      </c>
      <c r="E10" s="54">
        <v>37659</v>
      </c>
      <c r="F10" s="47"/>
      <c r="G10" s="55">
        <f t="shared" si="1"/>
        <v>46752.5</v>
      </c>
      <c r="I10" s="56">
        <v>37583.925000000003</v>
      </c>
      <c r="J10" s="57">
        <v>30067.140000000003</v>
      </c>
      <c r="K10" s="57">
        <v>2555.706900000001</v>
      </c>
      <c r="L10" s="57">
        <v>1150.0681050000021</v>
      </c>
      <c r="M10" s="57">
        <v>655.53881985000044</v>
      </c>
      <c r="N10" s="59">
        <v>613.97550000000047</v>
      </c>
    </row>
    <row r="11" spans="1:14" x14ac:dyDescent="0.3">
      <c r="A11" s="51" t="s">
        <v>74</v>
      </c>
      <c r="B11" s="52"/>
      <c r="C11" s="53"/>
      <c r="D11" s="53"/>
      <c r="E11" s="54"/>
      <c r="F11" s="47"/>
      <c r="G11" s="55"/>
      <c r="I11" s="56"/>
      <c r="J11" s="15"/>
      <c r="K11" s="57">
        <v>23001.362100000002</v>
      </c>
      <c r="L11" s="57">
        <v>21851.293995</v>
      </c>
      <c r="M11" s="57">
        <v>21195.75517515</v>
      </c>
      <c r="N11" s="59">
        <v>19851.874500000002</v>
      </c>
    </row>
    <row r="12" spans="1:14" x14ac:dyDescent="0.3">
      <c r="A12" s="51" t="s">
        <v>75</v>
      </c>
      <c r="B12" s="52"/>
      <c r="C12" s="53"/>
      <c r="D12" s="60">
        <v>10541</v>
      </c>
      <c r="E12" s="61">
        <v>13394</v>
      </c>
      <c r="F12" s="47"/>
      <c r="G12" s="55">
        <f t="shared" si="1"/>
        <v>11967.5</v>
      </c>
      <c r="I12" s="56">
        <v>10100</v>
      </c>
      <c r="J12" s="57">
        <v>8900</v>
      </c>
      <c r="K12" s="57">
        <v>1170</v>
      </c>
      <c r="L12" s="57">
        <v>660</v>
      </c>
      <c r="M12" s="57">
        <v>540</v>
      </c>
      <c r="N12" s="59">
        <v>430</v>
      </c>
    </row>
    <row r="13" spans="1:14" x14ac:dyDescent="0.3">
      <c r="A13" s="51" t="s">
        <v>76</v>
      </c>
      <c r="B13" s="62"/>
      <c r="C13" s="63"/>
      <c r="D13" s="64"/>
      <c r="E13" s="65"/>
      <c r="F13" s="47"/>
      <c r="G13" s="55"/>
      <c r="I13" s="66"/>
      <c r="J13" s="67"/>
      <c r="K13" s="68">
        <v>6630</v>
      </c>
      <c r="L13" s="68">
        <v>5940</v>
      </c>
      <c r="M13" s="68">
        <v>4860</v>
      </c>
      <c r="N13" s="69">
        <v>3870</v>
      </c>
    </row>
    <row r="14" spans="1:14" x14ac:dyDescent="0.3">
      <c r="B14" s="70">
        <f>SUM(B6:B13)</f>
        <v>199001</v>
      </c>
      <c r="C14" s="70">
        <f t="shared" ref="C14:E14" si="3">SUM(C6:C13)</f>
        <v>217615</v>
      </c>
      <c r="D14" s="70">
        <f t="shared" si="3"/>
        <v>237623</v>
      </c>
      <c r="E14" s="70">
        <f t="shared" si="3"/>
        <v>228230</v>
      </c>
      <c r="F14" s="2"/>
      <c r="G14" s="2"/>
      <c r="I14" s="70">
        <f t="shared" ref="I14:N14" si="4">SUM(I6:I13)</f>
        <v>215564.92499999999</v>
      </c>
      <c r="J14" s="70">
        <f t="shared" si="4"/>
        <v>206848.14</v>
      </c>
      <c r="K14" s="70">
        <f t="shared" si="4"/>
        <v>201238.06899999999</v>
      </c>
      <c r="L14" s="70">
        <f t="shared" si="4"/>
        <v>197482.36210000003</v>
      </c>
      <c r="M14" s="70">
        <f t="shared" si="4"/>
        <v>195132.29399500001</v>
      </c>
      <c r="N14" s="70">
        <f t="shared" si="4"/>
        <v>192646.85</v>
      </c>
    </row>
    <row r="20" spans="5:15" x14ac:dyDescent="0.3">
      <c r="I20" s="71"/>
      <c r="J20" s="71"/>
      <c r="K20" s="71"/>
      <c r="L20" s="71"/>
      <c r="M20" s="71"/>
      <c r="N20" s="71"/>
    </row>
    <row r="22" spans="5:15" x14ac:dyDescent="0.3">
      <c r="E22" s="55"/>
      <c r="I22" s="55"/>
      <c r="J22" s="55"/>
      <c r="K22" s="55"/>
      <c r="L22" s="55"/>
      <c r="M22" s="55"/>
      <c r="N22" s="55"/>
      <c r="O22" s="55"/>
    </row>
  </sheetData>
  <mergeCells count="2">
    <mergeCell ref="B3:E3"/>
    <mergeCell ref="I3:N3"/>
  </mergeCells>
  <pageMargins left="0.7" right="0.7" top="0.75" bottom="0.75" header="0.3" footer="0.3"/>
  <pageSetup paperSize="9" scale="91"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59"/>
  <sheetViews>
    <sheetView zoomScale="85" zoomScaleNormal="85" workbookViewId="0">
      <pane ySplit="1" topLeftCell="A2" activePane="bottomLeft" state="frozen"/>
      <selection pane="bottomLeft" activeCell="H34" sqref="H34"/>
    </sheetView>
  </sheetViews>
  <sheetFormatPr defaultColWidth="11.44140625" defaultRowHeight="13.2" x14ac:dyDescent="0.25"/>
  <cols>
    <col min="1" max="1" width="10.5546875" style="290" bestFit="1" customWidth="1"/>
    <col min="2" max="2" width="8" style="288" customWidth="1"/>
    <col min="3" max="3" width="13.5546875" style="288" customWidth="1"/>
    <col min="4" max="4" width="15.5546875" style="290" customWidth="1"/>
    <col min="5" max="5" width="14.33203125" style="288" customWidth="1"/>
    <col min="6" max="6" width="14.5546875" style="288" customWidth="1"/>
    <col min="7" max="7" width="26.44140625" style="289" bestFit="1" customWidth="1"/>
    <col min="8" max="8" width="12.6640625" style="288" customWidth="1"/>
    <col min="9" max="9" width="13.33203125" style="290" bestFit="1" customWidth="1"/>
    <col min="10" max="10" width="8.88671875" style="299" hidden="1" customWidth="1"/>
    <col min="11" max="11" width="13.6640625" style="290" customWidth="1"/>
    <col min="12" max="12" width="11.88671875" style="291" customWidth="1"/>
    <col min="13" max="13" width="14.5546875" style="291" customWidth="1"/>
    <col min="14" max="14" width="14.6640625" style="291" customWidth="1"/>
    <col min="15" max="15" width="11.6640625" style="290" customWidth="1"/>
    <col min="16" max="16" width="12.6640625" style="290" customWidth="1"/>
    <col min="17" max="17" width="15.5546875" style="290" customWidth="1"/>
    <col min="18" max="18" width="16.88671875" style="290" customWidth="1"/>
    <col min="19" max="19" width="17.5546875" style="291" customWidth="1"/>
    <col min="20" max="20" width="11.33203125" style="289" customWidth="1"/>
    <col min="21" max="21" width="19.33203125" style="290" customWidth="1"/>
    <col min="22" max="22" width="17" style="290" bestFit="1" customWidth="1"/>
    <col min="23" max="23" width="11.44140625" style="290"/>
    <col min="24" max="16384" width="11.44140625" style="296"/>
  </cols>
  <sheetData>
    <row r="1" spans="1:25" s="287" customFormat="1" ht="26.4" x14ac:dyDescent="0.25">
      <c r="A1" s="281" t="s">
        <v>239</v>
      </c>
      <c r="B1" s="281" t="s">
        <v>240</v>
      </c>
      <c r="C1" s="281" t="s">
        <v>241</v>
      </c>
      <c r="D1" s="281" t="s">
        <v>242</v>
      </c>
      <c r="E1" s="282" t="s">
        <v>243</v>
      </c>
      <c r="F1" s="282" t="s">
        <v>244</v>
      </c>
      <c r="G1" s="282" t="s">
        <v>245</v>
      </c>
      <c r="H1" s="282" t="s">
        <v>246</v>
      </c>
      <c r="I1" s="282" t="s">
        <v>247</v>
      </c>
      <c r="J1" s="282" t="s">
        <v>248</v>
      </c>
      <c r="K1" s="282" t="s">
        <v>249</v>
      </c>
      <c r="L1" s="283" t="s">
        <v>250</v>
      </c>
      <c r="M1" s="283" t="s">
        <v>251</v>
      </c>
      <c r="N1" s="283" t="s">
        <v>252</v>
      </c>
      <c r="O1" s="282" t="s">
        <v>253</v>
      </c>
      <c r="P1" s="282" t="s">
        <v>254</v>
      </c>
      <c r="Q1" s="282" t="s">
        <v>255</v>
      </c>
      <c r="R1" s="282" t="s">
        <v>256</v>
      </c>
      <c r="S1" s="283" t="s">
        <v>257</v>
      </c>
      <c r="T1" s="284" t="s">
        <v>258</v>
      </c>
      <c r="U1" s="285" t="s">
        <v>259</v>
      </c>
      <c r="V1" s="286"/>
      <c r="W1" s="286"/>
    </row>
    <row r="2" spans="1:25" s="290" customFormat="1" x14ac:dyDescent="0.25">
      <c r="A2" s="304"/>
      <c r="B2" s="288"/>
      <c r="C2" s="288"/>
      <c r="E2" s="288"/>
      <c r="F2" s="288"/>
      <c r="G2" s="289"/>
      <c r="H2" s="288"/>
      <c r="J2" s="299"/>
      <c r="L2" s="291"/>
      <c r="M2" s="291"/>
      <c r="N2" s="291"/>
      <c r="S2" s="291"/>
      <c r="T2" s="289"/>
      <c r="X2" s="296"/>
      <c r="Y2" s="296"/>
    </row>
    <row r="3" spans="1:25" s="290" customFormat="1" x14ac:dyDescent="0.25">
      <c r="A3" s="526"/>
      <c r="B3" s="527"/>
      <c r="C3" s="528"/>
      <c r="D3" s="529"/>
      <c r="E3" s="528"/>
      <c r="F3" s="528"/>
      <c r="G3" s="530"/>
      <c r="H3" s="527"/>
      <c r="I3" s="531"/>
      <c r="J3" s="532"/>
      <c r="K3" s="531"/>
      <c r="L3" s="533"/>
      <c r="M3" s="534"/>
      <c r="N3" s="533"/>
      <c r="O3" s="532"/>
      <c r="P3" s="535"/>
      <c r="Q3" s="536"/>
      <c r="R3" s="536"/>
      <c r="S3" s="536"/>
      <c r="T3" s="537"/>
      <c r="U3" s="532"/>
      <c r="V3" s="532"/>
      <c r="X3" s="296"/>
      <c r="Y3" s="296"/>
    </row>
    <row r="4" spans="1:25" s="290" customFormat="1" x14ac:dyDescent="0.25">
      <c r="A4" s="526"/>
      <c r="B4" s="527"/>
      <c r="C4" s="528"/>
      <c r="D4" s="529"/>
      <c r="E4" s="528"/>
      <c r="F4" s="528"/>
      <c r="G4" s="530"/>
      <c r="H4" s="527"/>
      <c r="I4" s="531"/>
      <c r="J4" s="532"/>
      <c r="K4" s="531"/>
      <c r="L4" s="533"/>
      <c r="M4" s="534"/>
      <c r="N4" s="533"/>
      <c r="O4" s="532"/>
      <c r="P4" s="535"/>
      <c r="Q4" s="536"/>
      <c r="R4" s="536"/>
      <c r="S4" s="536"/>
      <c r="T4" s="537"/>
      <c r="U4" s="532"/>
      <c r="V4" s="532"/>
      <c r="X4" s="296"/>
      <c r="Y4" s="296"/>
    </row>
    <row r="5" spans="1:25" s="290" customFormat="1" x14ac:dyDescent="0.25">
      <c r="A5" s="526"/>
      <c r="B5" s="527"/>
      <c r="C5" s="528"/>
      <c r="D5" s="529"/>
      <c r="E5" s="528"/>
      <c r="F5" s="528"/>
      <c r="G5" s="530"/>
      <c r="H5" s="527"/>
      <c r="I5" s="531"/>
      <c r="J5" s="532"/>
      <c r="K5" s="531"/>
      <c r="L5" s="533"/>
      <c r="M5" s="534"/>
      <c r="N5" s="533"/>
      <c r="O5" s="532"/>
      <c r="P5" s="535"/>
      <c r="Q5" s="536"/>
      <c r="R5" s="536"/>
      <c r="S5" s="536"/>
      <c r="T5" s="537"/>
      <c r="U5" s="532"/>
      <c r="V5" s="532"/>
      <c r="X5" s="296"/>
      <c r="Y5" s="296"/>
    </row>
    <row r="6" spans="1:25" s="290" customFormat="1" x14ac:dyDescent="0.25">
      <c r="A6" s="526"/>
      <c r="B6" s="527"/>
      <c r="C6" s="528"/>
      <c r="D6" s="529"/>
      <c r="E6" s="528"/>
      <c r="F6" s="528"/>
      <c r="G6" s="530"/>
      <c r="H6" s="527"/>
      <c r="I6" s="531"/>
      <c r="J6" s="532"/>
      <c r="K6" s="531"/>
      <c r="L6" s="533"/>
      <c r="M6" s="534"/>
      <c r="N6" s="533"/>
      <c r="O6" s="532"/>
      <c r="P6" s="535"/>
      <c r="Q6" s="536"/>
      <c r="R6" s="536"/>
      <c r="S6" s="536"/>
      <c r="T6" s="537"/>
      <c r="U6" s="532"/>
      <c r="V6" s="532"/>
      <c r="X6" s="296"/>
      <c r="Y6" s="296"/>
    </row>
    <row r="7" spans="1:25" s="290" customFormat="1" x14ac:dyDescent="0.25">
      <c r="A7" s="526"/>
      <c r="B7" s="527"/>
      <c r="C7" s="528"/>
      <c r="D7" s="529"/>
      <c r="E7" s="528"/>
      <c r="F7" s="528"/>
      <c r="G7" s="530"/>
      <c r="H7" s="527"/>
      <c r="I7" s="531"/>
      <c r="J7" s="532"/>
      <c r="K7" s="531"/>
      <c r="L7" s="533"/>
      <c r="M7" s="534"/>
      <c r="N7" s="533"/>
      <c r="O7" s="532"/>
      <c r="P7" s="535"/>
      <c r="Q7" s="536"/>
      <c r="R7" s="536"/>
      <c r="S7" s="536"/>
      <c r="T7" s="537"/>
      <c r="U7" s="532"/>
      <c r="V7" s="538"/>
      <c r="X7" s="296"/>
      <c r="Y7" s="296"/>
    </row>
    <row r="8" spans="1:25" s="290" customFormat="1" x14ac:dyDescent="0.25">
      <c r="A8" s="526"/>
      <c r="B8" s="527"/>
      <c r="C8" s="528"/>
      <c r="D8" s="529"/>
      <c r="E8" s="528"/>
      <c r="F8" s="528"/>
      <c r="G8" s="530"/>
      <c r="H8" s="527"/>
      <c r="I8" s="531"/>
      <c r="J8" s="532"/>
      <c r="K8" s="531"/>
      <c r="L8" s="533"/>
      <c r="M8" s="534"/>
      <c r="N8" s="533"/>
      <c r="O8" s="532"/>
      <c r="P8" s="535"/>
      <c r="Q8" s="536"/>
      <c r="R8" s="536"/>
      <c r="S8" s="536"/>
      <c r="T8" s="537"/>
      <c r="U8" s="532"/>
      <c r="V8" s="532"/>
      <c r="X8" s="296"/>
      <c r="Y8" s="296"/>
    </row>
    <row r="9" spans="1:25" s="290" customFormat="1" ht="13.8" thickBot="1" x14ac:dyDescent="0.3">
      <c r="A9" s="539"/>
      <c r="B9" s="540"/>
      <c r="C9" s="540"/>
      <c r="D9" s="541"/>
      <c r="E9" s="540"/>
      <c r="F9" s="540"/>
      <c r="G9" s="542"/>
      <c r="H9" s="540"/>
      <c r="I9" s="543"/>
      <c r="J9" s="543"/>
      <c r="K9" s="543"/>
      <c r="L9" s="544"/>
      <c r="M9" s="545"/>
      <c r="N9" s="544"/>
      <c r="O9" s="543"/>
      <c r="P9" s="546"/>
      <c r="Q9" s="547"/>
      <c r="R9" s="547"/>
      <c r="S9" s="547"/>
      <c r="T9" s="542"/>
      <c r="U9" s="543"/>
      <c r="V9" s="543"/>
      <c r="X9" s="296"/>
      <c r="Y9" s="296"/>
    </row>
    <row r="10" spans="1:25" s="290" customFormat="1" x14ac:dyDescent="0.25">
      <c r="A10" s="304"/>
      <c r="B10" s="288"/>
      <c r="C10" s="288"/>
      <c r="E10" s="288"/>
      <c r="F10" s="288"/>
      <c r="G10" s="289"/>
      <c r="H10" s="288"/>
      <c r="J10" s="299"/>
      <c r="L10" s="291"/>
      <c r="M10" s="291"/>
      <c r="N10" s="291"/>
      <c r="S10" s="291"/>
      <c r="T10" s="289"/>
      <c r="X10" s="296"/>
      <c r="Y10" s="296"/>
    </row>
    <row r="11" spans="1:25" s="290" customFormat="1" x14ac:dyDescent="0.25">
      <c r="A11" s="304"/>
      <c r="B11" s="288"/>
      <c r="C11" s="288"/>
      <c r="E11" s="288"/>
      <c r="F11" s="288"/>
      <c r="G11" s="289"/>
      <c r="H11" s="288"/>
      <c r="J11" s="299"/>
      <c r="L11" s="291"/>
      <c r="M11" s="291"/>
      <c r="N11" s="291"/>
      <c r="S11" s="291"/>
      <c r="T11" s="289"/>
      <c r="X11" s="296"/>
      <c r="Y11" s="296"/>
    </row>
    <row r="12" spans="1:25" s="290" customFormat="1" x14ac:dyDescent="0.25">
      <c r="A12" s="526"/>
      <c r="B12" s="527"/>
      <c r="C12" s="528"/>
      <c r="D12" s="529"/>
      <c r="E12" s="528"/>
      <c r="F12" s="528"/>
      <c r="G12" s="530"/>
      <c r="H12" s="527"/>
      <c r="I12" s="531"/>
      <c r="J12" s="531"/>
      <c r="K12" s="531"/>
      <c r="L12" s="533"/>
      <c r="M12" s="534"/>
      <c r="N12" s="533"/>
      <c r="O12" s="532"/>
      <c r="P12" s="535"/>
      <c r="Q12" s="536"/>
      <c r="R12" s="536"/>
      <c r="S12" s="536"/>
      <c r="T12" s="537"/>
      <c r="U12" s="532"/>
      <c r="V12" s="532"/>
      <c r="X12" s="296"/>
      <c r="Y12" s="296"/>
    </row>
    <row r="13" spans="1:25" s="290" customFormat="1" x14ac:dyDescent="0.25">
      <c r="A13" s="526"/>
      <c r="B13" s="527"/>
      <c r="C13" s="528"/>
      <c r="D13" s="529"/>
      <c r="E13" s="528"/>
      <c r="F13" s="528"/>
      <c r="G13" s="530"/>
      <c r="H13" s="527"/>
      <c r="I13" s="531"/>
      <c r="J13" s="531"/>
      <c r="K13" s="531"/>
      <c r="L13" s="533"/>
      <c r="M13" s="534"/>
      <c r="N13" s="533"/>
      <c r="O13" s="532"/>
      <c r="P13" s="535"/>
      <c r="Q13" s="536"/>
      <c r="R13" s="536"/>
      <c r="S13" s="536"/>
      <c r="T13" s="537"/>
      <c r="U13" s="532"/>
      <c r="V13" s="532"/>
      <c r="X13" s="296"/>
      <c r="Y13" s="296"/>
    </row>
    <row r="14" spans="1:25" s="290" customFormat="1" x14ac:dyDescent="0.25">
      <c r="A14" s="526"/>
      <c r="B14" s="527"/>
      <c r="C14" s="528"/>
      <c r="D14" s="529"/>
      <c r="E14" s="528"/>
      <c r="F14" s="528"/>
      <c r="G14" s="530"/>
      <c r="H14" s="527"/>
      <c r="I14" s="531"/>
      <c r="J14" s="531"/>
      <c r="K14" s="531"/>
      <c r="L14" s="533"/>
      <c r="M14" s="534"/>
      <c r="N14" s="533"/>
      <c r="O14" s="532"/>
      <c r="P14" s="535"/>
      <c r="Q14" s="536"/>
      <c r="R14" s="536"/>
      <c r="S14" s="536"/>
      <c r="T14" s="537"/>
      <c r="U14" s="532"/>
      <c r="V14" s="532"/>
      <c r="X14" s="296"/>
      <c r="Y14" s="296"/>
    </row>
    <row r="15" spans="1:25" s="290" customFormat="1" x14ac:dyDescent="0.25">
      <c r="A15" s="526"/>
      <c r="B15" s="527"/>
      <c r="C15" s="528"/>
      <c r="D15" s="529"/>
      <c r="E15" s="528"/>
      <c r="F15" s="528"/>
      <c r="G15" s="530"/>
      <c r="H15" s="527"/>
      <c r="I15" s="531"/>
      <c r="J15" s="531"/>
      <c r="K15" s="531"/>
      <c r="L15" s="533"/>
      <c r="M15" s="534"/>
      <c r="N15" s="533"/>
      <c r="O15" s="532"/>
      <c r="P15" s="535"/>
      <c r="Q15" s="536"/>
      <c r="R15" s="536"/>
      <c r="S15" s="536"/>
      <c r="T15" s="537"/>
      <c r="U15" s="532"/>
      <c r="V15" s="532"/>
      <c r="X15" s="296"/>
      <c r="Y15" s="296"/>
    </row>
    <row r="16" spans="1:25" s="290" customFormat="1" x14ac:dyDescent="0.25">
      <c r="A16" s="526"/>
      <c r="B16" s="527"/>
      <c r="C16" s="528"/>
      <c r="D16" s="529"/>
      <c r="E16" s="528"/>
      <c r="F16" s="528"/>
      <c r="G16" s="530"/>
      <c r="H16" s="527"/>
      <c r="I16" s="531"/>
      <c r="J16" s="531"/>
      <c r="K16" s="531"/>
      <c r="L16" s="533"/>
      <c r="M16" s="534"/>
      <c r="N16" s="533"/>
      <c r="O16" s="532"/>
      <c r="P16" s="535"/>
      <c r="Q16" s="536"/>
      <c r="R16" s="536"/>
      <c r="S16" s="536"/>
      <c r="T16" s="537"/>
      <c r="U16" s="532"/>
      <c r="V16" s="532"/>
      <c r="X16" s="296"/>
      <c r="Y16" s="296"/>
    </row>
    <row r="17" spans="1:25" s="290" customFormat="1" x14ac:dyDescent="0.25">
      <c r="A17" s="526"/>
      <c r="B17" s="527"/>
      <c r="C17" s="528"/>
      <c r="D17" s="529"/>
      <c r="E17" s="528"/>
      <c r="F17" s="528"/>
      <c r="G17" s="530"/>
      <c r="H17" s="527"/>
      <c r="I17" s="531"/>
      <c r="J17" s="531"/>
      <c r="K17" s="531"/>
      <c r="L17" s="533"/>
      <c r="M17" s="534"/>
      <c r="N17" s="533"/>
      <c r="O17" s="532"/>
      <c r="P17" s="535"/>
      <c r="Q17" s="536"/>
      <c r="R17" s="536"/>
      <c r="S17" s="536"/>
      <c r="T17" s="537"/>
      <c r="U17" s="532"/>
      <c r="V17" s="532"/>
      <c r="X17" s="296"/>
      <c r="Y17" s="296"/>
    </row>
    <row r="18" spans="1:25" s="290" customFormat="1" x14ac:dyDescent="0.25">
      <c r="A18" s="526"/>
      <c r="B18" s="527"/>
      <c r="C18" s="528"/>
      <c r="D18" s="529"/>
      <c r="E18" s="528"/>
      <c r="F18" s="528"/>
      <c r="G18" s="530"/>
      <c r="H18" s="527"/>
      <c r="I18" s="531"/>
      <c r="J18" s="531"/>
      <c r="K18" s="531"/>
      <c r="L18" s="533"/>
      <c r="M18" s="534"/>
      <c r="N18" s="533"/>
      <c r="O18" s="532"/>
      <c r="P18" s="535"/>
      <c r="Q18" s="536"/>
      <c r="R18" s="536"/>
      <c r="S18" s="536"/>
      <c r="T18" s="537"/>
      <c r="U18" s="532"/>
      <c r="V18" s="532"/>
      <c r="X18" s="296"/>
      <c r="Y18" s="296"/>
    </row>
    <row r="19" spans="1:25" s="290" customFormat="1" x14ac:dyDescent="0.25">
      <c r="A19" s="526"/>
      <c r="B19" s="527"/>
      <c r="C19" s="528"/>
      <c r="D19" s="529"/>
      <c r="E19" s="528"/>
      <c r="F19" s="528"/>
      <c r="G19" s="530"/>
      <c r="H19" s="527"/>
      <c r="I19" s="531"/>
      <c r="J19" s="531"/>
      <c r="K19" s="531"/>
      <c r="L19" s="533"/>
      <c r="M19" s="534"/>
      <c r="N19" s="533"/>
      <c r="O19" s="532"/>
      <c r="P19" s="535"/>
      <c r="Q19" s="536"/>
      <c r="R19" s="536"/>
      <c r="S19" s="536"/>
      <c r="T19" s="537"/>
      <c r="U19" s="532"/>
      <c r="V19" s="532"/>
      <c r="X19" s="296"/>
      <c r="Y19" s="296"/>
    </row>
    <row r="20" spans="1:25" s="290" customFormat="1" x14ac:dyDescent="0.25">
      <c r="A20" s="526"/>
      <c r="B20" s="527"/>
      <c r="C20" s="528"/>
      <c r="D20" s="529"/>
      <c r="E20" s="528"/>
      <c r="F20" s="528"/>
      <c r="G20" s="530"/>
      <c r="H20" s="527"/>
      <c r="I20" s="531"/>
      <c r="J20" s="531"/>
      <c r="K20" s="531"/>
      <c r="L20" s="533"/>
      <c r="M20" s="534"/>
      <c r="N20" s="533"/>
      <c r="O20" s="532"/>
      <c r="P20" s="535"/>
      <c r="Q20" s="536"/>
      <c r="R20" s="536"/>
      <c r="S20" s="536"/>
      <c r="T20" s="537"/>
      <c r="U20" s="532"/>
      <c r="V20" s="532"/>
      <c r="X20" s="296"/>
      <c r="Y20" s="296"/>
    </row>
    <row r="21" spans="1:25" s="290" customFormat="1" x14ac:dyDescent="0.25">
      <c r="A21" s="526"/>
      <c r="B21" s="527"/>
      <c r="C21" s="528"/>
      <c r="D21" s="529"/>
      <c r="E21" s="528"/>
      <c r="F21" s="528"/>
      <c r="G21" s="298">
        <v>410</v>
      </c>
      <c r="H21" s="527"/>
      <c r="I21" s="531"/>
      <c r="J21" s="302"/>
      <c r="K21" s="549">
        <v>91.55</v>
      </c>
      <c r="L21" s="533"/>
      <c r="M21" s="534"/>
      <c r="N21" s="533"/>
      <c r="O21" s="532"/>
      <c r="P21" s="535"/>
      <c r="Q21" s="536"/>
      <c r="R21" s="536"/>
      <c r="S21" s="536"/>
      <c r="T21" s="537"/>
      <c r="U21" s="532"/>
      <c r="V21" s="532"/>
      <c r="X21" s="296"/>
      <c r="Y21" s="296"/>
    </row>
    <row r="22" spans="1:25" s="290" customFormat="1" x14ac:dyDescent="0.25">
      <c r="A22" s="548"/>
      <c r="B22" s="527"/>
      <c r="C22" s="527"/>
      <c r="D22" s="529"/>
      <c r="E22" s="527"/>
      <c r="F22" s="527"/>
      <c r="G22" s="298">
        <v>420</v>
      </c>
      <c r="H22" s="527"/>
      <c r="I22" s="531"/>
      <c r="J22" s="531"/>
      <c r="K22" s="549">
        <v>106.05</v>
      </c>
      <c r="L22" s="533"/>
      <c r="M22" s="534"/>
      <c r="N22" s="533"/>
      <c r="O22" s="531"/>
      <c r="P22" s="535"/>
      <c r="Q22" s="536"/>
      <c r="R22" s="536"/>
      <c r="S22" s="536"/>
      <c r="T22" s="530"/>
      <c r="U22" s="531"/>
      <c r="V22" s="531"/>
      <c r="X22" s="296"/>
      <c r="Y22" s="296"/>
    </row>
    <row r="23" spans="1:25" s="290" customFormat="1" ht="13.8" thickBot="1" x14ac:dyDescent="0.3">
      <c r="A23" s="539"/>
      <c r="B23" s="540"/>
      <c r="C23" s="540"/>
      <c r="D23" s="541"/>
      <c r="E23" s="540"/>
      <c r="F23" s="540"/>
      <c r="G23" s="300">
        <v>430</v>
      </c>
      <c r="H23" s="540"/>
      <c r="I23" s="543"/>
      <c r="J23" s="301"/>
      <c r="K23" s="550">
        <v>165.14</v>
      </c>
      <c r="L23" s="544"/>
      <c r="M23" s="545"/>
      <c r="N23" s="544"/>
      <c r="O23" s="543"/>
      <c r="P23" s="546"/>
      <c r="Q23" s="547"/>
      <c r="R23" s="547"/>
      <c r="S23" s="547"/>
      <c r="T23" s="542"/>
      <c r="U23" s="543"/>
      <c r="V23" s="543"/>
      <c r="X23" s="296"/>
      <c r="Y23" s="296"/>
    </row>
    <row r="24" spans="1:25" s="290" customFormat="1" x14ac:dyDescent="0.25">
      <c r="A24" s="304"/>
      <c r="B24" s="292"/>
      <c r="C24" s="288"/>
      <c r="D24" s="294"/>
      <c r="E24" s="288"/>
      <c r="F24" s="288"/>
      <c r="G24" s="293"/>
      <c r="H24" s="292"/>
      <c r="I24" s="296"/>
      <c r="J24" s="296"/>
      <c r="K24" s="296"/>
      <c r="L24" s="295"/>
      <c r="M24" s="297"/>
      <c r="N24" s="295"/>
      <c r="P24" s="305"/>
      <c r="Q24" s="306"/>
      <c r="R24" s="306"/>
      <c r="S24" s="306"/>
      <c r="T24" s="289"/>
      <c r="X24" s="296"/>
      <c r="Y24" s="296"/>
    </row>
    <row r="25" spans="1:25" s="290" customFormat="1" x14ac:dyDescent="0.25">
      <c r="A25" s="304"/>
      <c r="B25" s="292"/>
      <c r="C25" s="288"/>
      <c r="D25" s="294"/>
      <c r="E25" s="288"/>
      <c r="F25" s="288"/>
      <c r="G25" s="293"/>
      <c r="H25" s="292"/>
      <c r="I25" s="296"/>
      <c r="J25" s="296"/>
      <c r="K25" s="296"/>
      <c r="L25" s="295"/>
      <c r="M25" s="297"/>
      <c r="N25" s="295"/>
      <c r="P25" s="305"/>
      <c r="Q25" s="306"/>
      <c r="R25" s="306"/>
      <c r="S25" s="306"/>
      <c r="T25" s="289"/>
      <c r="X25" s="296"/>
      <c r="Y25" s="296"/>
    </row>
    <row r="26" spans="1:25" s="290" customFormat="1" x14ac:dyDescent="0.25">
      <c r="A26" s="526"/>
      <c r="B26" s="527"/>
      <c r="C26" s="528"/>
      <c r="D26" s="529"/>
      <c r="E26" s="528"/>
      <c r="F26" s="528"/>
      <c r="G26" s="530"/>
      <c r="H26" s="527"/>
      <c r="I26" s="531"/>
      <c r="J26" s="531"/>
      <c r="K26" s="531"/>
      <c r="L26" s="533"/>
      <c r="M26" s="534"/>
      <c r="N26" s="533"/>
      <c r="O26" s="532"/>
      <c r="P26" s="535"/>
      <c r="Q26" s="536"/>
      <c r="R26" s="536"/>
      <c r="S26" s="536"/>
      <c r="T26" s="537"/>
      <c r="U26" s="532"/>
      <c r="V26" s="532"/>
      <c r="X26" s="296"/>
      <c r="Y26" s="296"/>
    </row>
    <row r="27" spans="1:25" s="290" customFormat="1" x14ac:dyDescent="0.25">
      <c r="A27" s="526"/>
      <c r="B27" s="527"/>
      <c r="C27" s="528"/>
      <c r="D27" s="529"/>
      <c r="E27" s="528"/>
      <c r="F27" s="528"/>
      <c r="G27" s="530"/>
      <c r="H27" s="527"/>
      <c r="I27" s="531"/>
      <c r="J27" s="531"/>
      <c r="K27" s="531"/>
      <c r="L27" s="533"/>
      <c r="M27" s="534"/>
      <c r="N27" s="533"/>
      <c r="O27" s="532"/>
      <c r="P27" s="535"/>
      <c r="Q27" s="536"/>
      <c r="R27" s="536"/>
      <c r="S27" s="536"/>
      <c r="T27" s="537"/>
      <c r="U27" s="532"/>
      <c r="V27" s="532"/>
      <c r="X27" s="296"/>
      <c r="Y27" s="296"/>
    </row>
    <row r="28" spans="1:25" s="290" customFormat="1" x14ac:dyDescent="0.25">
      <c r="A28" s="526"/>
      <c r="B28" s="527"/>
      <c r="C28" s="528"/>
      <c r="D28" s="529"/>
      <c r="E28" s="528"/>
      <c r="F28" s="528"/>
      <c r="G28" s="298" t="s">
        <v>260</v>
      </c>
      <c r="H28" s="527"/>
      <c r="I28" s="531"/>
      <c r="J28" s="299"/>
      <c r="K28" s="549">
        <v>227.2</v>
      </c>
      <c r="L28" s="533"/>
      <c r="M28" s="534"/>
      <c r="N28" s="533"/>
      <c r="O28" s="532"/>
      <c r="P28" s="535"/>
      <c r="Q28" s="536"/>
      <c r="R28" s="536"/>
      <c r="S28" s="536"/>
      <c r="T28" s="537"/>
      <c r="U28" s="532"/>
      <c r="V28" s="532"/>
      <c r="X28" s="296"/>
      <c r="Y28" s="296"/>
    </row>
    <row r="29" spans="1:25" s="290" customFormat="1" x14ac:dyDescent="0.25">
      <c r="A29" s="304"/>
      <c r="B29" s="288"/>
      <c r="C29" s="288"/>
      <c r="E29" s="288"/>
      <c r="F29" s="288"/>
      <c r="G29" s="289"/>
      <c r="H29" s="288"/>
      <c r="J29" s="299"/>
      <c r="L29" s="291"/>
      <c r="M29" s="291"/>
      <c r="N29" s="291"/>
      <c r="S29" s="291"/>
      <c r="T29" s="289"/>
      <c r="X29" s="296"/>
      <c r="Y29" s="296"/>
    </row>
    <row r="30" spans="1:25" s="290" customFormat="1" x14ac:dyDescent="0.25">
      <c r="A30" s="307"/>
      <c r="B30" s="308"/>
      <c r="C30" s="308"/>
      <c r="D30" s="309"/>
      <c r="E30" s="308"/>
      <c r="F30" s="308"/>
      <c r="G30" s="310"/>
      <c r="H30" s="308"/>
      <c r="I30" s="309"/>
      <c r="J30" s="303"/>
      <c r="K30" s="309"/>
      <c r="L30" s="311"/>
      <c r="M30" s="311"/>
      <c r="N30" s="311"/>
      <c r="S30" s="291"/>
      <c r="T30" s="289"/>
      <c r="X30" s="296"/>
      <c r="Y30" s="296"/>
    </row>
    <row r="31" spans="1:25" s="288" customFormat="1" x14ac:dyDescent="0.25">
      <c r="A31" s="304"/>
      <c r="D31" s="290"/>
      <c r="G31" s="289"/>
      <c r="I31" s="290"/>
      <c r="J31" s="299"/>
      <c r="K31" s="290"/>
      <c r="L31" s="291"/>
      <c r="M31" s="291"/>
      <c r="N31" s="291"/>
      <c r="O31" s="290"/>
      <c r="P31" s="290"/>
      <c r="Q31" s="290"/>
      <c r="R31" s="290"/>
      <c r="S31" s="291"/>
      <c r="T31" s="289"/>
      <c r="U31" s="290"/>
      <c r="V31" s="290"/>
      <c r="W31" s="290"/>
      <c r="X31" s="296"/>
      <c r="Y31" s="296"/>
    </row>
    <row r="32" spans="1:25" s="288" customFormat="1" x14ac:dyDescent="0.25">
      <c r="A32" s="304"/>
      <c r="D32" s="290"/>
      <c r="G32" s="289"/>
      <c r="I32" s="290"/>
      <c r="J32" s="299"/>
      <c r="K32" s="290"/>
      <c r="L32" s="291"/>
      <c r="M32" s="291"/>
      <c r="N32" s="291"/>
      <c r="O32" s="290"/>
      <c r="P32" s="290"/>
      <c r="Q32" s="290"/>
      <c r="R32" s="290"/>
      <c r="S32" s="291"/>
      <c r="T32" s="289"/>
      <c r="U32" s="290"/>
      <c r="V32" s="290"/>
      <c r="W32" s="290"/>
      <c r="X32" s="296"/>
      <c r="Y32" s="296"/>
    </row>
    <row r="33" spans="1:25" s="288" customFormat="1" x14ac:dyDescent="0.25">
      <c r="A33" s="304"/>
      <c r="D33" s="290"/>
      <c r="G33" s="289"/>
      <c r="I33" s="290"/>
      <c r="J33" s="299"/>
      <c r="K33" s="290"/>
      <c r="L33" s="291"/>
      <c r="M33" s="291"/>
      <c r="N33" s="291"/>
      <c r="O33" s="290"/>
      <c r="P33" s="290"/>
      <c r="Q33" s="290"/>
      <c r="R33" s="290"/>
      <c r="S33" s="291"/>
      <c r="T33" s="289"/>
      <c r="U33" s="290"/>
      <c r="V33" s="290"/>
      <c r="W33" s="290"/>
      <c r="X33" s="296"/>
      <c r="Y33" s="296"/>
    </row>
    <row r="34" spans="1:25" s="288" customFormat="1" x14ac:dyDescent="0.25">
      <c r="A34" s="304"/>
      <c r="D34" s="290"/>
      <c r="G34" s="289"/>
      <c r="I34" s="290"/>
      <c r="J34" s="299"/>
      <c r="K34" s="290"/>
      <c r="L34" s="291"/>
      <c r="M34" s="291"/>
      <c r="N34" s="291"/>
      <c r="O34" s="290"/>
      <c r="P34" s="290"/>
      <c r="Q34" s="290"/>
      <c r="R34" s="290"/>
      <c r="S34" s="291"/>
      <c r="T34" s="289"/>
      <c r="U34" s="290"/>
      <c r="V34" s="290"/>
      <c r="W34" s="290"/>
      <c r="X34" s="296"/>
      <c r="Y34" s="296"/>
    </row>
    <row r="35" spans="1:25" s="288" customFormat="1" x14ac:dyDescent="0.25">
      <c r="A35" s="304"/>
      <c r="D35" s="290"/>
      <c r="G35" s="289"/>
      <c r="I35" s="290"/>
      <c r="J35" s="299"/>
      <c r="K35" s="290"/>
      <c r="L35" s="291"/>
      <c r="M35" s="291"/>
      <c r="N35" s="291"/>
      <c r="O35" s="290"/>
      <c r="P35" s="290"/>
      <c r="Q35" s="290"/>
      <c r="R35" s="290"/>
      <c r="S35" s="291"/>
      <c r="T35" s="289"/>
      <c r="U35" s="290"/>
      <c r="V35" s="290"/>
      <c r="W35" s="290"/>
      <c r="X35" s="296"/>
      <c r="Y35" s="296"/>
    </row>
    <row r="36" spans="1:25" s="288" customFormat="1" x14ac:dyDescent="0.25">
      <c r="A36" s="304"/>
      <c r="D36" s="290"/>
      <c r="G36" s="289"/>
      <c r="I36" s="290"/>
      <c r="J36" s="299"/>
      <c r="K36" s="290"/>
      <c r="L36" s="291"/>
      <c r="M36" s="291"/>
      <c r="N36" s="291"/>
      <c r="O36" s="290"/>
      <c r="P36" s="290"/>
      <c r="Q36" s="290"/>
      <c r="R36" s="290"/>
      <c r="S36" s="291"/>
      <c r="T36" s="289"/>
      <c r="U36" s="290"/>
      <c r="V36" s="290"/>
      <c r="W36" s="290"/>
      <c r="X36" s="296"/>
      <c r="Y36" s="296"/>
    </row>
    <row r="37" spans="1:25" s="288" customFormat="1" x14ac:dyDescent="0.25">
      <c r="A37" s="304"/>
      <c r="D37" s="290"/>
      <c r="G37" s="289"/>
      <c r="I37" s="290"/>
      <c r="J37" s="299"/>
      <c r="K37" s="290"/>
      <c r="L37" s="291"/>
      <c r="M37" s="291"/>
      <c r="N37" s="291"/>
      <c r="O37" s="290"/>
      <c r="P37" s="290"/>
      <c r="Q37" s="290"/>
      <c r="R37" s="290"/>
      <c r="S37" s="291"/>
      <c r="T37" s="289"/>
      <c r="U37" s="290"/>
      <c r="V37" s="290"/>
      <c r="W37" s="290"/>
      <c r="X37" s="296"/>
      <c r="Y37" s="296"/>
    </row>
    <row r="38" spans="1:25" s="288" customFormat="1" x14ac:dyDescent="0.25">
      <c r="A38" s="304"/>
      <c r="D38" s="290"/>
      <c r="G38" s="289"/>
      <c r="I38" s="290"/>
      <c r="J38" s="299"/>
      <c r="K38" s="290"/>
      <c r="L38" s="291"/>
      <c r="M38" s="291"/>
      <c r="N38" s="291"/>
      <c r="O38" s="290"/>
      <c r="P38" s="290"/>
      <c r="Q38" s="290"/>
      <c r="R38" s="290"/>
      <c r="S38" s="291"/>
      <c r="T38" s="289"/>
      <c r="U38" s="290"/>
      <c r="V38" s="290"/>
      <c r="W38" s="290"/>
      <c r="X38" s="296"/>
      <c r="Y38" s="296"/>
    </row>
    <row r="39" spans="1:25" s="288" customFormat="1" x14ac:dyDescent="0.25">
      <c r="A39" s="304"/>
      <c r="D39" s="290"/>
      <c r="G39" s="289"/>
      <c r="I39" s="290"/>
      <c r="J39" s="299"/>
      <c r="K39" s="290"/>
      <c r="L39" s="291"/>
      <c r="M39" s="291"/>
      <c r="N39" s="291"/>
      <c r="O39" s="290"/>
      <c r="P39" s="290"/>
      <c r="Q39" s="290"/>
      <c r="R39" s="290"/>
      <c r="S39" s="291"/>
      <c r="T39" s="289"/>
      <c r="U39" s="290"/>
      <c r="V39" s="290"/>
      <c r="W39" s="290"/>
      <c r="X39" s="296"/>
      <c r="Y39" s="296"/>
    </row>
    <row r="40" spans="1:25" s="288" customFormat="1" x14ac:dyDescent="0.25">
      <c r="A40" s="304"/>
      <c r="D40" s="290"/>
      <c r="G40" s="289"/>
      <c r="I40" s="290"/>
      <c r="J40" s="299"/>
      <c r="K40" s="290"/>
      <c r="L40" s="291"/>
      <c r="M40" s="291"/>
      <c r="N40" s="291"/>
      <c r="O40" s="290"/>
      <c r="P40" s="290"/>
      <c r="Q40" s="290"/>
      <c r="R40" s="290"/>
      <c r="S40" s="291"/>
      <c r="T40" s="289"/>
      <c r="U40" s="290"/>
      <c r="V40" s="290"/>
      <c r="W40" s="290"/>
      <c r="X40" s="296"/>
      <c r="Y40" s="296"/>
    </row>
    <row r="41" spans="1:25" s="288" customFormat="1" x14ac:dyDescent="0.25">
      <c r="A41" s="304"/>
      <c r="D41" s="290"/>
      <c r="G41" s="289"/>
      <c r="I41" s="290"/>
      <c r="J41" s="299"/>
      <c r="K41" s="290"/>
      <c r="L41" s="291"/>
      <c r="M41" s="291"/>
      <c r="N41" s="291"/>
      <c r="O41" s="290"/>
      <c r="P41" s="290"/>
      <c r="Q41" s="290"/>
      <c r="R41" s="290"/>
      <c r="S41" s="291"/>
      <c r="T41" s="289"/>
      <c r="U41" s="290"/>
      <c r="V41" s="290"/>
      <c r="W41" s="290"/>
      <c r="X41" s="296"/>
      <c r="Y41" s="296"/>
    </row>
    <row r="42" spans="1:25" s="288" customFormat="1" x14ac:dyDescent="0.25">
      <c r="A42" s="304"/>
      <c r="D42" s="290"/>
      <c r="G42" s="289"/>
      <c r="I42" s="290"/>
      <c r="J42" s="299"/>
      <c r="K42" s="290"/>
      <c r="L42" s="291"/>
      <c r="M42" s="291"/>
      <c r="N42" s="291"/>
      <c r="O42" s="290"/>
      <c r="P42" s="290"/>
      <c r="Q42" s="290"/>
      <c r="R42" s="290"/>
      <c r="S42" s="291"/>
      <c r="T42" s="289"/>
      <c r="U42" s="290"/>
      <c r="V42" s="290"/>
      <c r="W42" s="290"/>
      <c r="X42" s="296"/>
      <c r="Y42" s="296"/>
    </row>
    <row r="43" spans="1:25" s="288" customFormat="1" x14ac:dyDescent="0.25">
      <c r="A43" s="304"/>
      <c r="D43" s="290"/>
      <c r="G43" s="289"/>
      <c r="I43" s="290"/>
      <c r="J43" s="299"/>
      <c r="K43" s="290"/>
      <c r="L43" s="291"/>
      <c r="M43" s="291"/>
      <c r="N43" s="291"/>
      <c r="O43" s="290"/>
      <c r="P43" s="290"/>
      <c r="Q43" s="290"/>
      <c r="R43" s="290"/>
      <c r="S43" s="291"/>
      <c r="T43" s="289"/>
      <c r="U43" s="290"/>
      <c r="V43" s="290"/>
      <c r="W43" s="290"/>
      <c r="X43" s="296"/>
      <c r="Y43" s="296"/>
    </row>
    <row r="44" spans="1:25" s="288" customFormat="1" x14ac:dyDescent="0.25">
      <c r="A44" s="304"/>
      <c r="D44" s="290"/>
      <c r="G44" s="289"/>
      <c r="I44" s="290"/>
      <c r="J44" s="299"/>
      <c r="K44" s="290"/>
      <c r="L44" s="291"/>
      <c r="M44" s="291"/>
      <c r="N44" s="291"/>
      <c r="O44" s="290"/>
      <c r="P44" s="290"/>
      <c r="Q44" s="290"/>
      <c r="R44" s="290"/>
      <c r="S44" s="291"/>
      <c r="T44" s="289"/>
      <c r="U44" s="290"/>
      <c r="V44" s="290"/>
      <c r="W44" s="290"/>
      <c r="X44" s="296"/>
      <c r="Y44" s="296"/>
    </row>
    <row r="45" spans="1:25" s="288" customFormat="1" x14ac:dyDescent="0.25">
      <c r="A45" s="304"/>
      <c r="D45" s="290"/>
      <c r="G45" s="289"/>
      <c r="I45" s="290"/>
      <c r="J45" s="299"/>
      <c r="K45" s="290"/>
      <c r="L45" s="291"/>
      <c r="M45" s="291"/>
      <c r="N45" s="291"/>
      <c r="O45" s="290"/>
      <c r="P45" s="290"/>
      <c r="Q45" s="290"/>
      <c r="R45" s="290"/>
      <c r="S45" s="291"/>
      <c r="T45" s="289"/>
      <c r="U45" s="290"/>
      <c r="V45" s="290"/>
      <c r="W45" s="290"/>
      <c r="X45" s="296"/>
      <c r="Y45" s="296"/>
    </row>
    <row r="46" spans="1:25" s="288" customFormat="1" x14ac:dyDescent="0.25">
      <c r="A46" s="304"/>
      <c r="D46" s="290"/>
      <c r="G46" s="289"/>
      <c r="I46" s="290"/>
      <c r="J46" s="299"/>
      <c r="K46" s="290"/>
      <c r="L46" s="291"/>
      <c r="M46" s="291"/>
      <c r="N46" s="291"/>
      <c r="O46" s="290"/>
      <c r="P46" s="290"/>
      <c r="Q46" s="290"/>
      <c r="R46" s="290"/>
      <c r="S46" s="291"/>
      <c r="T46" s="289"/>
      <c r="U46" s="290"/>
      <c r="V46" s="290"/>
      <c r="W46" s="290"/>
      <c r="X46" s="296"/>
      <c r="Y46" s="296"/>
    </row>
    <row r="47" spans="1:25" s="288" customFormat="1" x14ac:dyDescent="0.25">
      <c r="A47" s="304"/>
      <c r="D47" s="290"/>
      <c r="G47" s="289"/>
      <c r="I47" s="290"/>
      <c r="J47" s="299"/>
      <c r="K47" s="290"/>
      <c r="L47" s="291"/>
      <c r="M47" s="291"/>
      <c r="N47" s="291"/>
      <c r="O47" s="290"/>
      <c r="P47" s="290"/>
      <c r="Q47" s="290"/>
      <c r="R47" s="290"/>
      <c r="S47" s="291"/>
      <c r="T47" s="289"/>
      <c r="U47" s="290"/>
      <c r="V47" s="290"/>
      <c r="W47" s="290"/>
      <c r="X47" s="296"/>
      <c r="Y47" s="296"/>
    </row>
    <row r="48" spans="1:25" s="288" customFormat="1" x14ac:dyDescent="0.25">
      <c r="A48" s="304"/>
      <c r="D48" s="290"/>
      <c r="G48" s="289"/>
      <c r="I48" s="290"/>
      <c r="J48" s="299"/>
      <c r="K48" s="290"/>
      <c r="L48" s="291"/>
      <c r="M48" s="291"/>
      <c r="N48" s="291"/>
      <c r="O48" s="290"/>
      <c r="P48" s="290"/>
      <c r="Q48" s="290"/>
      <c r="R48" s="290"/>
      <c r="S48" s="291"/>
      <c r="T48" s="289"/>
      <c r="U48" s="290"/>
      <c r="V48" s="290"/>
      <c r="W48" s="290"/>
      <c r="X48" s="296"/>
      <c r="Y48" s="296"/>
    </row>
    <row r="49" spans="1:25" s="288" customFormat="1" x14ac:dyDescent="0.25">
      <c r="A49" s="304"/>
      <c r="D49" s="290"/>
      <c r="G49" s="289"/>
      <c r="I49" s="290"/>
      <c r="J49" s="299"/>
      <c r="K49" s="290"/>
      <c r="L49" s="291"/>
      <c r="M49" s="291"/>
      <c r="N49" s="291"/>
      <c r="O49" s="290"/>
      <c r="P49" s="290"/>
      <c r="Q49" s="290"/>
      <c r="R49" s="290"/>
      <c r="S49" s="291"/>
      <c r="T49" s="289"/>
      <c r="U49" s="290"/>
      <c r="V49" s="290"/>
      <c r="W49" s="290"/>
      <c r="X49" s="296"/>
      <c r="Y49" s="296"/>
    </row>
    <row r="50" spans="1:25" s="288" customFormat="1" x14ac:dyDescent="0.25">
      <c r="A50" s="304"/>
      <c r="D50" s="290"/>
      <c r="G50" s="289"/>
      <c r="I50" s="290"/>
      <c r="J50" s="299"/>
      <c r="K50" s="290"/>
      <c r="L50" s="291"/>
      <c r="M50" s="291"/>
      <c r="N50" s="291"/>
      <c r="O50" s="290"/>
      <c r="P50" s="290"/>
      <c r="Q50" s="290"/>
      <c r="R50" s="290"/>
      <c r="S50" s="291"/>
      <c r="T50" s="289"/>
      <c r="U50" s="290"/>
      <c r="V50" s="290"/>
      <c r="W50" s="290"/>
      <c r="X50" s="296"/>
      <c r="Y50" s="296"/>
    </row>
    <row r="51" spans="1:25" s="288" customFormat="1" x14ac:dyDescent="0.25">
      <c r="A51" s="304"/>
      <c r="D51" s="290"/>
      <c r="G51" s="289"/>
      <c r="I51" s="290"/>
      <c r="J51" s="299"/>
      <c r="K51" s="290"/>
      <c r="L51" s="291"/>
      <c r="M51" s="291"/>
      <c r="N51" s="291"/>
      <c r="O51" s="290"/>
      <c r="P51" s="290"/>
      <c r="Q51" s="290"/>
      <c r="R51" s="290"/>
      <c r="S51" s="291"/>
      <c r="T51" s="289"/>
      <c r="U51" s="290"/>
      <c r="V51" s="290"/>
      <c r="W51" s="290"/>
      <c r="X51" s="296"/>
      <c r="Y51" s="296"/>
    </row>
    <row r="52" spans="1:25" s="288" customFormat="1" x14ac:dyDescent="0.25">
      <c r="A52" s="304"/>
      <c r="D52" s="290"/>
      <c r="G52" s="289"/>
      <c r="I52" s="290"/>
      <c r="J52" s="299"/>
      <c r="K52" s="290"/>
      <c r="L52" s="291"/>
      <c r="M52" s="291"/>
      <c r="N52" s="291"/>
      <c r="O52" s="290"/>
      <c r="P52" s="290"/>
      <c r="Q52" s="290"/>
      <c r="R52" s="290"/>
      <c r="S52" s="291"/>
      <c r="T52" s="289"/>
      <c r="U52" s="290"/>
      <c r="V52" s="290"/>
      <c r="W52" s="290"/>
      <c r="X52" s="296"/>
      <c r="Y52" s="296"/>
    </row>
    <row r="53" spans="1:25" s="288" customFormat="1" x14ac:dyDescent="0.25">
      <c r="A53" s="304"/>
      <c r="D53" s="290"/>
      <c r="G53" s="289"/>
      <c r="I53" s="290"/>
      <c r="J53" s="299"/>
      <c r="K53" s="290"/>
      <c r="L53" s="291"/>
      <c r="M53" s="291"/>
      <c r="N53" s="291"/>
      <c r="O53" s="290"/>
      <c r="P53" s="290"/>
      <c r="Q53" s="290"/>
      <c r="R53" s="290"/>
      <c r="S53" s="291"/>
      <c r="T53" s="289"/>
      <c r="U53" s="290"/>
      <c r="V53" s="290"/>
      <c r="W53" s="290"/>
      <c r="X53" s="296"/>
      <c r="Y53" s="296"/>
    </row>
    <row r="54" spans="1:25" s="288" customFormat="1" x14ac:dyDescent="0.25">
      <c r="A54" s="304"/>
      <c r="D54" s="290"/>
      <c r="G54" s="289"/>
      <c r="I54" s="290"/>
      <c r="J54" s="299"/>
      <c r="K54" s="290"/>
      <c r="L54" s="291"/>
      <c r="M54" s="291"/>
      <c r="N54" s="291"/>
      <c r="O54" s="290"/>
      <c r="P54" s="290"/>
      <c r="Q54" s="290"/>
      <c r="R54" s="290"/>
      <c r="S54" s="291"/>
      <c r="T54" s="289"/>
      <c r="U54" s="290"/>
      <c r="V54" s="290"/>
      <c r="W54" s="290"/>
      <c r="X54" s="296"/>
      <c r="Y54" s="296"/>
    </row>
    <row r="55" spans="1:25" s="288" customFormat="1" x14ac:dyDescent="0.25">
      <c r="A55" s="304"/>
      <c r="D55" s="290"/>
      <c r="G55" s="289"/>
      <c r="I55" s="290"/>
      <c r="J55" s="299"/>
      <c r="K55" s="290"/>
      <c r="L55" s="291"/>
      <c r="M55" s="291"/>
      <c r="N55" s="291"/>
      <c r="O55" s="290"/>
      <c r="P55" s="290"/>
      <c r="Q55" s="290"/>
      <c r="R55" s="290"/>
      <c r="S55" s="291"/>
      <c r="T55" s="289"/>
      <c r="U55" s="290"/>
      <c r="V55" s="290"/>
      <c r="W55" s="290"/>
      <c r="X55" s="296"/>
      <c r="Y55" s="296"/>
    </row>
    <row r="56" spans="1:25" s="288" customFormat="1" x14ac:dyDescent="0.25">
      <c r="A56" s="304"/>
      <c r="D56" s="290"/>
      <c r="G56" s="289"/>
      <c r="I56" s="290"/>
      <c r="J56" s="299"/>
      <c r="K56" s="290"/>
      <c r="L56" s="291"/>
      <c r="M56" s="291"/>
      <c r="N56" s="291"/>
      <c r="O56" s="290"/>
      <c r="P56" s="290"/>
      <c r="Q56" s="290"/>
      <c r="R56" s="290"/>
      <c r="S56" s="291"/>
      <c r="T56" s="289"/>
      <c r="U56" s="290"/>
      <c r="V56" s="290"/>
      <c r="W56" s="290"/>
      <c r="X56" s="296"/>
      <c r="Y56" s="296"/>
    </row>
    <row r="57" spans="1:25" s="288" customFormat="1" x14ac:dyDescent="0.25">
      <c r="A57" s="304"/>
      <c r="D57" s="290"/>
      <c r="G57" s="289"/>
      <c r="I57" s="290"/>
      <c r="J57" s="299"/>
      <c r="K57" s="290"/>
      <c r="L57" s="291"/>
      <c r="M57" s="291"/>
      <c r="N57" s="291"/>
      <c r="O57" s="290"/>
      <c r="P57" s="290"/>
      <c r="Q57" s="290"/>
      <c r="R57" s="290"/>
      <c r="S57" s="291"/>
      <c r="T57" s="289"/>
      <c r="U57" s="290"/>
      <c r="V57" s="290"/>
      <c r="W57" s="290"/>
      <c r="X57" s="296"/>
      <c r="Y57" s="296"/>
    </row>
    <row r="58" spans="1:25" s="288" customFormat="1" x14ac:dyDescent="0.25">
      <c r="A58" s="304"/>
      <c r="D58" s="290"/>
      <c r="G58" s="289"/>
      <c r="I58" s="290"/>
      <c r="J58" s="299"/>
      <c r="K58" s="290"/>
      <c r="L58" s="291"/>
      <c r="M58" s="291"/>
      <c r="N58" s="291"/>
      <c r="O58" s="290"/>
      <c r="P58" s="290"/>
      <c r="Q58" s="290"/>
      <c r="R58" s="290"/>
      <c r="S58" s="291"/>
      <c r="T58" s="289"/>
      <c r="U58" s="290"/>
      <c r="V58" s="290"/>
      <c r="W58" s="290"/>
      <c r="X58" s="296"/>
      <c r="Y58" s="296"/>
    </row>
    <row r="59" spans="1:25" s="288" customFormat="1" x14ac:dyDescent="0.25">
      <c r="A59" s="304"/>
      <c r="D59" s="290"/>
      <c r="G59" s="289"/>
      <c r="I59" s="290"/>
      <c r="J59" s="299"/>
      <c r="K59" s="290"/>
      <c r="L59" s="291"/>
      <c r="M59" s="291"/>
      <c r="N59" s="291"/>
      <c r="O59" s="290"/>
      <c r="P59" s="290"/>
      <c r="Q59" s="290"/>
      <c r="R59" s="290"/>
      <c r="S59" s="291"/>
      <c r="T59" s="289"/>
      <c r="U59" s="290"/>
      <c r="V59" s="290"/>
      <c r="W59" s="290"/>
      <c r="X59" s="296"/>
      <c r="Y59" s="296"/>
    </row>
    <row r="60" spans="1:25" s="288" customFormat="1" x14ac:dyDescent="0.25">
      <c r="A60" s="304"/>
      <c r="D60" s="290"/>
      <c r="G60" s="289"/>
      <c r="I60" s="290"/>
      <c r="J60" s="299"/>
      <c r="K60" s="290"/>
      <c r="L60" s="291"/>
      <c r="M60" s="291"/>
      <c r="N60" s="291"/>
      <c r="O60" s="290"/>
      <c r="P60" s="290"/>
      <c r="Q60" s="290"/>
      <c r="R60" s="290"/>
      <c r="S60" s="291"/>
      <c r="T60" s="289"/>
      <c r="U60" s="290"/>
      <c r="V60" s="290"/>
      <c r="W60" s="290"/>
      <c r="X60" s="296"/>
      <c r="Y60" s="296"/>
    </row>
    <row r="61" spans="1:25" s="288" customFormat="1" x14ac:dyDescent="0.25">
      <c r="A61" s="304"/>
      <c r="D61" s="290"/>
      <c r="G61" s="289"/>
      <c r="I61" s="290"/>
      <c r="J61" s="299"/>
      <c r="K61" s="290"/>
      <c r="L61" s="291"/>
      <c r="M61" s="291"/>
      <c r="N61" s="291"/>
      <c r="O61" s="290"/>
      <c r="P61" s="290"/>
      <c r="Q61" s="290"/>
      <c r="R61" s="290"/>
      <c r="S61" s="291"/>
      <c r="T61" s="289"/>
      <c r="U61" s="290"/>
      <c r="V61" s="290"/>
      <c r="W61" s="290"/>
      <c r="X61" s="296"/>
      <c r="Y61" s="296"/>
    </row>
    <row r="62" spans="1:25" s="288" customFormat="1" x14ac:dyDescent="0.25">
      <c r="A62" s="304"/>
      <c r="D62" s="290"/>
      <c r="G62" s="289"/>
      <c r="I62" s="290"/>
      <c r="J62" s="299"/>
      <c r="K62" s="290"/>
      <c r="L62" s="291"/>
      <c r="M62" s="291"/>
      <c r="N62" s="291"/>
      <c r="O62" s="290"/>
      <c r="P62" s="290"/>
      <c r="Q62" s="290"/>
      <c r="R62" s="290"/>
      <c r="S62" s="291"/>
      <c r="T62" s="289"/>
      <c r="U62" s="290"/>
      <c r="V62" s="290"/>
      <c r="W62" s="290"/>
      <c r="X62" s="296"/>
      <c r="Y62" s="296"/>
    </row>
    <row r="63" spans="1:25" s="288" customFormat="1" x14ac:dyDescent="0.25">
      <c r="A63" s="304"/>
      <c r="D63" s="290"/>
      <c r="G63" s="289"/>
      <c r="I63" s="290"/>
      <c r="J63" s="299"/>
      <c r="K63" s="290"/>
      <c r="L63" s="291"/>
      <c r="M63" s="291"/>
      <c r="N63" s="291"/>
      <c r="O63" s="290"/>
      <c r="P63" s="290"/>
      <c r="Q63" s="290"/>
      <c r="R63" s="290"/>
      <c r="S63" s="291"/>
      <c r="T63" s="289"/>
      <c r="U63" s="290"/>
      <c r="V63" s="290"/>
      <c r="W63" s="290"/>
      <c r="X63" s="296"/>
      <c r="Y63" s="296"/>
    </row>
    <row r="64" spans="1:25" s="288" customFormat="1" x14ac:dyDescent="0.25">
      <c r="A64" s="304"/>
      <c r="D64" s="290"/>
      <c r="G64" s="289"/>
      <c r="I64" s="290"/>
      <c r="J64" s="299"/>
      <c r="K64" s="290"/>
      <c r="L64" s="291"/>
      <c r="M64" s="291"/>
      <c r="N64" s="291"/>
      <c r="O64" s="290"/>
      <c r="P64" s="290"/>
      <c r="Q64" s="290"/>
      <c r="R64" s="290"/>
      <c r="S64" s="291"/>
      <c r="T64" s="289"/>
      <c r="U64" s="290"/>
      <c r="V64" s="290"/>
      <c r="W64" s="290"/>
      <c r="X64" s="296"/>
      <c r="Y64" s="296"/>
    </row>
    <row r="65" spans="1:25" s="288" customFormat="1" x14ac:dyDescent="0.25">
      <c r="A65" s="304"/>
      <c r="D65" s="290"/>
      <c r="G65" s="289"/>
      <c r="I65" s="290"/>
      <c r="J65" s="299"/>
      <c r="K65" s="290"/>
      <c r="L65" s="291"/>
      <c r="M65" s="291"/>
      <c r="N65" s="291"/>
      <c r="O65" s="290"/>
      <c r="P65" s="290"/>
      <c r="Q65" s="290"/>
      <c r="R65" s="290"/>
      <c r="S65" s="291"/>
      <c r="T65" s="289"/>
      <c r="U65" s="290"/>
      <c r="V65" s="290"/>
      <c r="W65" s="290"/>
      <c r="X65" s="296"/>
      <c r="Y65" s="296"/>
    </row>
    <row r="66" spans="1:25" s="288" customFormat="1" x14ac:dyDescent="0.25">
      <c r="A66" s="304"/>
      <c r="D66" s="290"/>
      <c r="G66" s="289"/>
      <c r="I66" s="290"/>
      <c r="J66" s="299"/>
      <c r="K66" s="290"/>
      <c r="L66" s="291"/>
      <c r="M66" s="291"/>
      <c r="N66" s="291"/>
      <c r="O66" s="290"/>
      <c r="P66" s="290"/>
      <c r="Q66" s="290"/>
      <c r="R66" s="290"/>
      <c r="S66" s="291"/>
      <c r="T66" s="289"/>
      <c r="U66" s="290"/>
      <c r="V66" s="290"/>
      <c r="W66" s="290"/>
      <c r="X66" s="296"/>
      <c r="Y66" s="296"/>
    </row>
    <row r="67" spans="1:25" s="288" customFormat="1" x14ac:dyDescent="0.25">
      <c r="A67" s="304"/>
      <c r="D67" s="290"/>
      <c r="G67" s="289"/>
      <c r="I67" s="290"/>
      <c r="J67" s="299"/>
      <c r="K67" s="290"/>
      <c r="L67" s="291"/>
      <c r="M67" s="291"/>
      <c r="N67" s="291"/>
      <c r="O67" s="290"/>
      <c r="P67" s="290"/>
      <c r="Q67" s="290"/>
      <c r="R67" s="290"/>
      <c r="S67" s="291"/>
      <c r="T67" s="289"/>
      <c r="U67" s="290"/>
      <c r="V67" s="290"/>
      <c r="W67" s="290"/>
      <c r="X67" s="296"/>
      <c r="Y67" s="296"/>
    </row>
    <row r="68" spans="1:25" s="288" customFormat="1" x14ac:dyDescent="0.25">
      <c r="A68" s="304"/>
      <c r="D68" s="290"/>
      <c r="G68" s="289"/>
      <c r="I68" s="290"/>
      <c r="J68" s="299"/>
      <c r="K68" s="290"/>
      <c r="L68" s="291"/>
      <c r="M68" s="291"/>
      <c r="N68" s="291"/>
      <c r="O68" s="290"/>
      <c r="P68" s="290"/>
      <c r="Q68" s="290"/>
      <c r="R68" s="290"/>
      <c r="S68" s="291"/>
      <c r="T68" s="289"/>
      <c r="U68" s="290"/>
      <c r="V68" s="290"/>
      <c r="W68" s="290"/>
      <c r="X68" s="296"/>
      <c r="Y68" s="296"/>
    </row>
    <row r="69" spans="1:25" s="288" customFormat="1" x14ac:dyDescent="0.25">
      <c r="A69" s="304"/>
      <c r="D69" s="290"/>
      <c r="G69" s="289"/>
      <c r="I69" s="290"/>
      <c r="J69" s="299"/>
      <c r="K69" s="290"/>
      <c r="L69" s="291"/>
      <c r="M69" s="291"/>
      <c r="N69" s="291"/>
      <c r="O69" s="290"/>
      <c r="P69" s="290"/>
      <c r="Q69" s="290"/>
      <c r="R69" s="290"/>
      <c r="S69" s="291"/>
      <c r="T69" s="289"/>
      <c r="U69" s="290"/>
      <c r="V69" s="290"/>
      <c r="W69" s="290"/>
      <c r="X69" s="296"/>
      <c r="Y69" s="296"/>
    </row>
    <row r="70" spans="1:25" s="288" customFormat="1" x14ac:dyDescent="0.25">
      <c r="A70" s="304"/>
      <c r="D70" s="290"/>
      <c r="G70" s="289"/>
      <c r="I70" s="290"/>
      <c r="J70" s="299"/>
      <c r="K70" s="290"/>
      <c r="L70" s="291"/>
      <c r="M70" s="291"/>
      <c r="N70" s="291"/>
      <c r="O70" s="290"/>
      <c r="P70" s="290"/>
      <c r="Q70" s="290"/>
      <c r="R70" s="290"/>
      <c r="S70" s="291"/>
      <c r="T70" s="289"/>
      <c r="U70" s="290"/>
      <c r="V70" s="290"/>
      <c r="W70" s="290"/>
      <c r="X70" s="296"/>
      <c r="Y70" s="296"/>
    </row>
    <row r="71" spans="1:25" s="288" customFormat="1" x14ac:dyDescent="0.25">
      <c r="A71" s="304"/>
      <c r="D71" s="290"/>
      <c r="G71" s="289"/>
      <c r="I71" s="290"/>
      <c r="J71" s="299"/>
      <c r="K71" s="290"/>
      <c r="L71" s="291"/>
      <c r="M71" s="291"/>
      <c r="N71" s="291"/>
      <c r="O71" s="290"/>
      <c r="P71" s="290"/>
      <c r="Q71" s="290"/>
      <c r="R71" s="290"/>
      <c r="S71" s="291"/>
      <c r="T71" s="289"/>
      <c r="U71" s="290"/>
      <c r="V71" s="290"/>
      <c r="W71" s="290"/>
      <c r="X71" s="296"/>
      <c r="Y71" s="296"/>
    </row>
    <row r="72" spans="1:25" s="288" customFormat="1" x14ac:dyDescent="0.25">
      <c r="A72" s="304"/>
      <c r="D72" s="290"/>
      <c r="G72" s="289"/>
      <c r="I72" s="290"/>
      <c r="J72" s="299"/>
      <c r="K72" s="290"/>
      <c r="L72" s="291"/>
      <c r="M72" s="291"/>
      <c r="N72" s="291"/>
      <c r="O72" s="290"/>
      <c r="P72" s="290"/>
      <c r="Q72" s="290"/>
      <c r="R72" s="290"/>
      <c r="S72" s="291"/>
      <c r="T72" s="289"/>
      <c r="U72" s="290"/>
      <c r="V72" s="290"/>
      <c r="W72" s="290"/>
      <c r="X72" s="296"/>
      <c r="Y72" s="296"/>
    </row>
    <row r="73" spans="1:25" s="288" customFormat="1" x14ac:dyDescent="0.25">
      <c r="A73" s="304"/>
      <c r="D73" s="290"/>
      <c r="G73" s="289"/>
      <c r="I73" s="290"/>
      <c r="J73" s="299"/>
      <c r="K73" s="290"/>
      <c r="L73" s="291"/>
      <c r="M73" s="291"/>
      <c r="N73" s="291"/>
      <c r="O73" s="290"/>
      <c r="P73" s="290"/>
      <c r="Q73" s="290"/>
      <c r="R73" s="290"/>
      <c r="S73" s="291"/>
      <c r="T73" s="289"/>
      <c r="U73" s="290"/>
      <c r="V73" s="290"/>
      <c r="W73" s="290"/>
      <c r="X73" s="296"/>
      <c r="Y73" s="296"/>
    </row>
    <row r="74" spans="1:25" s="288" customFormat="1" x14ac:dyDescent="0.25">
      <c r="A74" s="304"/>
      <c r="D74" s="290"/>
      <c r="G74" s="289"/>
      <c r="I74" s="290"/>
      <c r="J74" s="299"/>
      <c r="K74" s="290"/>
      <c r="L74" s="291"/>
      <c r="M74" s="291"/>
      <c r="N74" s="291"/>
      <c r="O74" s="290"/>
      <c r="P74" s="290"/>
      <c r="Q74" s="290"/>
      <c r="R74" s="290"/>
      <c r="S74" s="291"/>
      <c r="T74" s="289"/>
      <c r="U74" s="290"/>
      <c r="V74" s="290"/>
      <c r="W74" s="290"/>
      <c r="X74" s="296"/>
      <c r="Y74" s="296"/>
    </row>
    <row r="75" spans="1:25" s="288" customFormat="1" x14ac:dyDescent="0.25">
      <c r="A75" s="304"/>
      <c r="D75" s="290"/>
      <c r="G75" s="289"/>
      <c r="I75" s="290"/>
      <c r="J75" s="299"/>
      <c r="K75" s="290"/>
      <c r="L75" s="291"/>
      <c r="M75" s="291"/>
      <c r="N75" s="291"/>
      <c r="O75" s="290"/>
      <c r="P75" s="290"/>
      <c r="Q75" s="290"/>
      <c r="R75" s="290"/>
      <c r="S75" s="291"/>
      <c r="T75" s="289"/>
      <c r="U75" s="290"/>
      <c r="V75" s="290"/>
      <c r="W75" s="290"/>
      <c r="X75" s="296"/>
      <c r="Y75" s="296"/>
    </row>
    <row r="76" spans="1:25" s="288" customFormat="1" x14ac:dyDescent="0.25">
      <c r="A76" s="304"/>
      <c r="D76" s="290"/>
      <c r="G76" s="289"/>
      <c r="I76" s="290"/>
      <c r="J76" s="299"/>
      <c r="K76" s="290"/>
      <c r="L76" s="291"/>
      <c r="M76" s="291"/>
      <c r="N76" s="291"/>
      <c r="O76" s="290"/>
      <c r="P76" s="290"/>
      <c r="Q76" s="290"/>
      <c r="R76" s="290"/>
      <c r="S76" s="291"/>
      <c r="T76" s="289"/>
      <c r="U76" s="290"/>
      <c r="V76" s="290"/>
      <c r="W76" s="290"/>
      <c r="X76" s="296"/>
      <c r="Y76" s="296"/>
    </row>
    <row r="77" spans="1:25" s="288" customFormat="1" x14ac:dyDescent="0.25">
      <c r="A77" s="304"/>
      <c r="D77" s="290"/>
      <c r="G77" s="289"/>
      <c r="I77" s="290"/>
      <c r="J77" s="299"/>
      <c r="K77" s="290"/>
      <c r="L77" s="291"/>
      <c r="M77" s="291"/>
      <c r="N77" s="291"/>
      <c r="O77" s="290"/>
      <c r="P77" s="290"/>
      <c r="Q77" s="290"/>
      <c r="R77" s="290"/>
      <c r="S77" s="291"/>
      <c r="T77" s="289"/>
      <c r="U77" s="290"/>
      <c r="V77" s="290"/>
      <c r="W77" s="290"/>
      <c r="X77" s="296"/>
      <c r="Y77" s="296"/>
    </row>
    <row r="78" spans="1:25" s="288" customFormat="1" x14ac:dyDescent="0.25">
      <c r="A78" s="304"/>
      <c r="D78" s="290"/>
      <c r="G78" s="289"/>
      <c r="I78" s="290"/>
      <c r="J78" s="299"/>
      <c r="K78" s="290"/>
      <c r="L78" s="291"/>
      <c r="M78" s="291"/>
      <c r="N78" s="291"/>
      <c r="O78" s="290"/>
      <c r="P78" s="290"/>
      <c r="Q78" s="290"/>
      <c r="R78" s="290"/>
      <c r="S78" s="291"/>
      <c r="T78" s="289"/>
      <c r="U78" s="290"/>
      <c r="V78" s="290"/>
      <c r="W78" s="290"/>
      <c r="X78" s="296"/>
      <c r="Y78" s="296"/>
    </row>
    <row r="79" spans="1:25" s="288" customFormat="1" x14ac:dyDescent="0.25">
      <c r="A79" s="304"/>
      <c r="D79" s="290"/>
      <c r="G79" s="289"/>
      <c r="I79" s="290"/>
      <c r="J79" s="299"/>
      <c r="K79" s="290"/>
      <c r="L79" s="291"/>
      <c r="M79" s="291"/>
      <c r="N79" s="291"/>
      <c r="O79" s="290"/>
      <c r="P79" s="290"/>
      <c r="Q79" s="290"/>
      <c r="R79" s="290"/>
      <c r="S79" s="291"/>
      <c r="T79" s="289"/>
      <c r="U79" s="290"/>
      <c r="V79" s="290"/>
      <c r="W79" s="290"/>
      <c r="X79" s="296"/>
      <c r="Y79" s="296"/>
    </row>
    <row r="80" spans="1:25" s="288" customFormat="1" x14ac:dyDescent="0.25">
      <c r="A80" s="304"/>
      <c r="D80" s="290"/>
      <c r="G80" s="289"/>
      <c r="I80" s="290"/>
      <c r="J80" s="299"/>
      <c r="K80" s="290"/>
      <c r="L80" s="291"/>
      <c r="M80" s="291"/>
      <c r="N80" s="291"/>
      <c r="O80" s="290"/>
      <c r="P80" s="290"/>
      <c r="Q80" s="290"/>
      <c r="R80" s="290"/>
      <c r="S80" s="291"/>
      <c r="T80" s="289"/>
      <c r="U80" s="290"/>
      <c r="V80" s="290"/>
      <c r="W80" s="290"/>
      <c r="X80" s="296"/>
      <c r="Y80" s="296"/>
    </row>
    <row r="81" spans="1:25" s="288" customFormat="1" x14ac:dyDescent="0.25">
      <c r="A81" s="304"/>
      <c r="D81" s="290"/>
      <c r="G81" s="289"/>
      <c r="I81" s="290"/>
      <c r="J81" s="299"/>
      <c r="K81" s="290"/>
      <c r="L81" s="291"/>
      <c r="M81" s="291"/>
      <c r="N81" s="291"/>
      <c r="O81" s="290"/>
      <c r="P81" s="290"/>
      <c r="Q81" s="290"/>
      <c r="R81" s="290"/>
      <c r="S81" s="291"/>
      <c r="T81" s="289"/>
      <c r="U81" s="290"/>
      <c r="V81" s="290"/>
      <c r="W81" s="290"/>
      <c r="X81" s="296"/>
      <c r="Y81" s="296"/>
    </row>
    <row r="82" spans="1:25" s="288" customFormat="1" x14ac:dyDescent="0.25">
      <c r="A82" s="304"/>
      <c r="D82" s="290"/>
      <c r="G82" s="289"/>
      <c r="I82" s="290"/>
      <c r="J82" s="299"/>
      <c r="K82" s="290"/>
      <c r="L82" s="291"/>
      <c r="M82" s="291"/>
      <c r="N82" s="291"/>
      <c r="O82" s="290"/>
      <c r="P82" s="290"/>
      <c r="Q82" s="290"/>
      <c r="R82" s="290"/>
      <c r="S82" s="291"/>
      <c r="T82" s="289"/>
      <c r="U82" s="290"/>
      <c r="V82" s="290"/>
      <c r="W82" s="290"/>
      <c r="X82" s="296"/>
      <c r="Y82" s="296"/>
    </row>
    <row r="83" spans="1:25" s="288" customFormat="1" x14ac:dyDescent="0.25">
      <c r="A83" s="304"/>
      <c r="D83" s="290"/>
      <c r="G83" s="289"/>
      <c r="I83" s="290"/>
      <c r="J83" s="299"/>
      <c r="K83" s="290"/>
      <c r="L83" s="291"/>
      <c r="M83" s="291"/>
      <c r="N83" s="291"/>
      <c r="O83" s="290"/>
      <c r="P83" s="290"/>
      <c r="Q83" s="290"/>
      <c r="R83" s="290"/>
      <c r="S83" s="291"/>
      <c r="T83" s="289"/>
      <c r="U83" s="290"/>
      <c r="V83" s="290"/>
      <c r="W83" s="290"/>
      <c r="X83" s="296"/>
      <c r="Y83" s="296"/>
    </row>
    <row r="84" spans="1:25" s="288" customFormat="1" x14ac:dyDescent="0.25">
      <c r="A84" s="304"/>
      <c r="D84" s="290"/>
      <c r="G84" s="289"/>
      <c r="I84" s="290"/>
      <c r="J84" s="299"/>
      <c r="K84" s="290"/>
      <c r="L84" s="291"/>
      <c r="M84" s="291"/>
      <c r="N84" s="291"/>
      <c r="O84" s="290"/>
      <c r="P84" s="290"/>
      <c r="Q84" s="290"/>
      <c r="R84" s="290"/>
      <c r="S84" s="291"/>
      <c r="T84" s="289"/>
      <c r="U84" s="290"/>
      <c r="V84" s="290"/>
      <c r="W84" s="290"/>
      <c r="X84" s="296"/>
      <c r="Y84" s="296"/>
    </row>
    <row r="85" spans="1:25" s="288" customFormat="1" x14ac:dyDescent="0.25">
      <c r="A85" s="304"/>
      <c r="D85" s="290"/>
      <c r="G85" s="289"/>
      <c r="I85" s="290"/>
      <c r="J85" s="299"/>
      <c r="K85" s="290"/>
      <c r="L85" s="291"/>
      <c r="M85" s="291"/>
      <c r="N85" s="291"/>
      <c r="O85" s="290"/>
      <c r="P85" s="290"/>
      <c r="Q85" s="290"/>
      <c r="R85" s="290"/>
      <c r="S85" s="291"/>
      <c r="T85" s="289"/>
      <c r="U85" s="290"/>
      <c r="V85" s="290"/>
      <c r="W85" s="290"/>
      <c r="X85" s="296"/>
      <c r="Y85" s="296"/>
    </row>
    <row r="86" spans="1:25" s="288" customFormat="1" x14ac:dyDescent="0.25">
      <c r="A86" s="304"/>
      <c r="D86" s="290"/>
      <c r="G86" s="289"/>
      <c r="I86" s="290"/>
      <c r="J86" s="299"/>
      <c r="K86" s="290"/>
      <c r="L86" s="291"/>
      <c r="M86" s="291"/>
      <c r="N86" s="291"/>
      <c r="O86" s="290"/>
      <c r="P86" s="290"/>
      <c r="Q86" s="290"/>
      <c r="R86" s="290"/>
      <c r="S86" s="291"/>
      <c r="T86" s="289"/>
      <c r="U86" s="290"/>
      <c r="V86" s="290"/>
      <c r="W86" s="290"/>
      <c r="X86" s="296"/>
      <c r="Y86" s="296"/>
    </row>
    <row r="87" spans="1:25" s="288" customFormat="1" x14ac:dyDescent="0.25">
      <c r="A87" s="304"/>
      <c r="D87" s="290"/>
      <c r="G87" s="289"/>
      <c r="I87" s="290"/>
      <c r="J87" s="299"/>
      <c r="K87" s="290"/>
      <c r="L87" s="291"/>
      <c r="M87" s="291"/>
      <c r="N87" s="291"/>
      <c r="O87" s="290"/>
      <c r="P87" s="290"/>
      <c r="Q87" s="290"/>
      <c r="R87" s="290"/>
      <c r="S87" s="291"/>
      <c r="T87" s="289"/>
      <c r="U87" s="290"/>
      <c r="V87" s="290"/>
      <c r="W87" s="290"/>
      <c r="X87" s="296"/>
      <c r="Y87" s="296"/>
    </row>
    <row r="88" spans="1:25" s="288" customFormat="1" x14ac:dyDescent="0.25">
      <c r="A88" s="304"/>
      <c r="D88" s="290"/>
      <c r="G88" s="289"/>
      <c r="I88" s="290"/>
      <c r="J88" s="299"/>
      <c r="K88" s="290"/>
      <c r="L88" s="291"/>
      <c r="M88" s="291"/>
      <c r="N88" s="291"/>
      <c r="O88" s="290"/>
      <c r="P88" s="290"/>
      <c r="Q88" s="290"/>
      <c r="R88" s="290"/>
      <c r="S88" s="291"/>
      <c r="T88" s="289"/>
      <c r="U88" s="290"/>
      <c r="V88" s="290"/>
      <c r="W88" s="290"/>
      <c r="X88" s="296"/>
      <c r="Y88" s="296"/>
    </row>
    <row r="89" spans="1:25" s="288" customFormat="1" x14ac:dyDescent="0.25">
      <c r="A89" s="304"/>
      <c r="D89" s="290"/>
      <c r="G89" s="289"/>
      <c r="I89" s="290"/>
      <c r="J89" s="299"/>
      <c r="K89" s="290"/>
      <c r="L89" s="291"/>
      <c r="M89" s="291"/>
      <c r="N89" s="291"/>
      <c r="O89" s="290"/>
      <c r="P89" s="290"/>
      <c r="Q89" s="290"/>
      <c r="R89" s="290"/>
      <c r="S89" s="291"/>
      <c r="T89" s="289"/>
      <c r="U89" s="290"/>
      <c r="V89" s="290"/>
      <c r="W89" s="290"/>
      <c r="X89" s="296"/>
      <c r="Y89" s="296"/>
    </row>
    <row r="90" spans="1:25" s="288" customFormat="1" x14ac:dyDescent="0.25">
      <c r="A90" s="304"/>
      <c r="D90" s="290"/>
      <c r="G90" s="289"/>
      <c r="I90" s="290"/>
      <c r="J90" s="299"/>
      <c r="K90" s="290"/>
      <c r="L90" s="291"/>
      <c r="M90" s="291"/>
      <c r="N90" s="291"/>
      <c r="O90" s="290"/>
      <c r="P90" s="290"/>
      <c r="Q90" s="290"/>
      <c r="R90" s="290"/>
      <c r="S90" s="291"/>
      <c r="T90" s="289"/>
      <c r="U90" s="290"/>
      <c r="V90" s="290"/>
      <c r="W90" s="290"/>
      <c r="X90" s="296"/>
      <c r="Y90" s="296"/>
    </row>
    <row r="91" spans="1:25" s="288" customFormat="1" x14ac:dyDescent="0.25">
      <c r="A91" s="304"/>
      <c r="D91" s="290"/>
      <c r="G91" s="289"/>
      <c r="I91" s="290"/>
      <c r="J91" s="299"/>
      <c r="K91" s="290"/>
      <c r="L91" s="291"/>
      <c r="M91" s="291"/>
      <c r="N91" s="291"/>
      <c r="O91" s="290"/>
      <c r="P91" s="290"/>
      <c r="Q91" s="290"/>
      <c r="R91" s="290"/>
      <c r="S91" s="291"/>
      <c r="T91" s="289"/>
      <c r="U91" s="290"/>
      <c r="V91" s="290"/>
      <c r="W91" s="290"/>
      <c r="X91" s="296"/>
      <c r="Y91" s="296"/>
    </row>
    <row r="92" spans="1:25" s="288" customFormat="1" x14ac:dyDescent="0.25">
      <c r="A92" s="304"/>
      <c r="D92" s="290"/>
      <c r="G92" s="289"/>
      <c r="I92" s="290"/>
      <c r="J92" s="299"/>
      <c r="K92" s="290"/>
      <c r="L92" s="291"/>
      <c r="M92" s="291"/>
      <c r="N92" s="291"/>
      <c r="O92" s="290"/>
      <c r="P92" s="290"/>
      <c r="Q92" s="290"/>
      <c r="R92" s="290"/>
      <c r="S92" s="291"/>
      <c r="T92" s="289"/>
      <c r="U92" s="290"/>
      <c r="V92" s="290"/>
      <c r="W92" s="290"/>
      <c r="X92" s="296"/>
      <c r="Y92" s="296"/>
    </row>
    <row r="93" spans="1:25" s="288" customFormat="1" x14ac:dyDescent="0.25">
      <c r="A93" s="304"/>
      <c r="D93" s="290"/>
      <c r="G93" s="289"/>
      <c r="I93" s="290"/>
      <c r="J93" s="299"/>
      <c r="K93" s="290"/>
      <c r="L93" s="291"/>
      <c r="M93" s="291"/>
      <c r="N93" s="291"/>
      <c r="O93" s="290"/>
      <c r="P93" s="290"/>
      <c r="Q93" s="290"/>
      <c r="R93" s="290"/>
      <c r="S93" s="291"/>
      <c r="T93" s="289"/>
      <c r="U93" s="290"/>
      <c r="V93" s="290"/>
      <c r="W93" s="290"/>
      <c r="X93" s="296"/>
      <c r="Y93" s="296"/>
    </row>
    <row r="94" spans="1:25" s="288" customFormat="1" x14ac:dyDescent="0.25">
      <c r="A94" s="304"/>
      <c r="D94" s="290"/>
      <c r="G94" s="289"/>
      <c r="I94" s="290"/>
      <c r="J94" s="299"/>
      <c r="K94" s="290"/>
      <c r="L94" s="291"/>
      <c r="M94" s="291"/>
      <c r="N94" s="291"/>
      <c r="O94" s="290"/>
      <c r="P94" s="290"/>
      <c r="Q94" s="290"/>
      <c r="R94" s="290"/>
      <c r="S94" s="291"/>
      <c r="T94" s="289"/>
      <c r="U94" s="290"/>
      <c r="V94" s="290"/>
      <c r="W94" s="290"/>
      <c r="X94" s="296"/>
      <c r="Y94" s="296"/>
    </row>
    <row r="95" spans="1:25" s="288" customFormat="1" x14ac:dyDescent="0.25">
      <c r="A95" s="304"/>
      <c r="D95" s="290"/>
      <c r="G95" s="289"/>
      <c r="I95" s="290"/>
      <c r="J95" s="299"/>
      <c r="K95" s="290"/>
      <c r="L95" s="291"/>
      <c r="M95" s="291"/>
      <c r="N95" s="291"/>
      <c r="O95" s="290"/>
      <c r="P95" s="290"/>
      <c r="Q95" s="290"/>
      <c r="R95" s="290"/>
      <c r="S95" s="291"/>
      <c r="T95" s="289"/>
      <c r="U95" s="290"/>
      <c r="V95" s="290"/>
      <c r="W95" s="290"/>
      <c r="X95" s="296"/>
      <c r="Y95" s="296"/>
    </row>
    <row r="96" spans="1:25" s="288" customFormat="1" x14ac:dyDescent="0.25">
      <c r="A96" s="304"/>
      <c r="D96" s="290"/>
      <c r="G96" s="289"/>
      <c r="I96" s="290"/>
      <c r="J96" s="299"/>
      <c r="K96" s="290"/>
      <c r="L96" s="291"/>
      <c r="M96" s="291"/>
      <c r="N96" s="291"/>
      <c r="O96" s="290"/>
      <c r="P96" s="290"/>
      <c r="Q96" s="290"/>
      <c r="R96" s="290"/>
      <c r="S96" s="291"/>
      <c r="T96" s="289"/>
      <c r="U96" s="290"/>
      <c r="V96" s="290"/>
      <c r="W96" s="290"/>
      <c r="X96" s="296"/>
      <c r="Y96" s="296"/>
    </row>
    <row r="97" spans="1:25" s="288" customFormat="1" x14ac:dyDescent="0.25">
      <c r="A97" s="304"/>
      <c r="D97" s="290"/>
      <c r="G97" s="289"/>
      <c r="I97" s="290"/>
      <c r="J97" s="299"/>
      <c r="K97" s="290"/>
      <c r="L97" s="291"/>
      <c r="M97" s="291"/>
      <c r="N97" s="291"/>
      <c r="O97" s="290"/>
      <c r="P97" s="290"/>
      <c r="Q97" s="290"/>
      <c r="R97" s="290"/>
      <c r="S97" s="291"/>
      <c r="T97" s="289"/>
      <c r="U97" s="290"/>
      <c r="V97" s="290"/>
      <c r="W97" s="290"/>
      <c r="X97" s="296"/>
      <c r="Y97" s="296"/>
    </row>
    <row r="98" spans="1:25" s="288" customFormat="1" x14ac:dyDescent="0.25">
      <c r="A98" s="304"/>
      <c r="D98" s="290"/>
      <c r="G98" s="289"/>
      <c r="I98" s="290"/>
      <c r="J98" s="299"/>
      <c r="K98" s="290"/>
      <c r="L98" s="291"/>
      <c r="M98" s="291"/>
      <c r="N98" s="291"/>
      <c r="O98" s="290"/>
      <c r="P98" s="290"/>
      <c r="Q98" s="290"/>
      <c r="R98" s="290"/>
      <c r="S98" s="291"/>
      <c r="T98" s="289"/>
      <c r="U98" s="290"/>
      <c r="V98" s="290"/>
      <c r="W98" s="290"/>
      <c r="X98" s="296"/>
      <c r="Y98" s="296"/>
    </row>
    <row r="99" spans="1:25" s="288" customFormat="1" x14ac:dyDescent="0.25">
      <c r="A99" s="304"/>
      <c r="D99" s="290"/>
      <c r="G99" s="289"/>
      <c r="I99" s="290"/>
      <c r="J99" s="299"/>
      <c r="K99" s="290"/>
      <c r="L99" s="291"/>
      <c r="M99" s="291"/>
      <c r="N99" s="291"/>
      <c r="O99" s="290"/>
      <c r="P99" s="290"/>
      <c r="Q99" s="290"/>
      <c r="R99" s="290"/>
      <c r="S99" s="291"/>
      <c r="T99" s="289"/>
      <c r="U99" s="290"/>
      <c r="V99" s="290"/>
      <c r="W99" s="290"/>
      <c r="X99" s="296"/>
      <c r="Y99" s="296"/>
    </row>
    <row r="100" spans="1:25" s="288" customFormat="1" x14ac:dyDescent="0.25">
      <c r="A100" s="304"/>
      <c r="D100" s="290"/>
      <c r="G100" s="289"/>
      <c r="I100" s="290"/>
      <c r="J100" s="299"/>
      <c r="K100" s="290"/>
      <c r="L100" s="291"/>
      <c r="M100" s="291"/>
      <c r="N100" s="291"/>
      <c r="O100" s="290"/>
      <c r="P100" s="290"/>
      <c r="Q100" s="290"/>
      <c r="R100" s="290"/>
      <c r="S100" s="291"/>
      <c r="T100" s="289"/>
      <c r="U100" s="290"/>
      <c r="V100" s="290"/>
      <c r="W100" s="290"/>
      <c r="X100" s="296"/>
      <c r="Y100" s="296"/>
    </row>
    <row r="101" spans="1:25" s="288" customFormat="1" x14ac:dyDescent="0.25">
      <c r="A101" s="304"/>
      <c r="D101" s="290"/>
      <c r="G101" s="289"/>
      <c r="I101" s="290"/>
      <c r="J101" s="299"/>
      <c r="K101" s="290"/>
      <c r="L101" s="291"/>
      <c r="M101" s="291"/>
      <c r="N101" s="291"/>
      <c r="O101" s="290"/>
      <c r="P101" s="290"/>
      <c r="Q101" s="290"/>
      <c r="R101" s="290"/>
      <c r="S101" s="291"/>
      <c r="T101" s="289"/>
      <c r="U101" s="290"/>
      <c r="V101" s="290"/>
      <c r="W101" s="290"/>
      <c r="X101" s="296"/>
      <c r="Y101" s="296"/>
    </row>
    <row r="102" spans="1:25" s="288" customFormat="1" x14ac:dyDescent="0.25">
      <c r="A102" s="304"/>
      <c r="D102" s="290"/>
      <c r="G102" s="289"/>
      <c r="I102" s="290"/>
      <c r="J102" s="299"/>
      <c r="K102" s="290"/>
      <c r="L102" s="291"/>
      <c r="M102" s="291"/>
      <c r="N102" s="291"/>
      <c r="O102" s="290"/>
      <c r="P102" s="290"/>
      <c r="Q102" s="290"/>
      <c r="R102" s="290"/>
      <c r="S102" s="291"/>
      <c r="T102" s="289"/>
      <c r="U102" s="290"/>
      <c r="V102" s="290"/>
      <c r="W102" s="290"/>
      <c r="X102" s="296"/>
      <c r="Y102" s="296"/>
    </row>
    <row r="103" spans="1:25" s="288" customFormat="1" x14ac:dyDescent="0.25">
      <c r="A103" s="304"/>
      <c r="D103" s="290"/>
      <c r="G103" s="289"/>
      <c r="I103" s="290"/>
      <c r="J103" s="299"/>
      <c r="K103" s="290"/>
      <c r="L103" s="291"/>
      <c r="M103" s="291"/>
      <c r="N103" s="291"/>
      <c r="O103" s="290"/>
      <c r="P103" s="290"/>
      <c r="Q103" s="290"/>
      <c r="R103" s="290"/>
      <c r="S103" s="291"/>
      <c r="T103" s="289"/>
      <c r="U103" s="290"/>
      <c r="V103" s="290"/>
      <c r="W103" s="290"/>
      <c r="X103" s="296"/>
      <c r="Y103" s="296"/>
    </row>
    <row r="104" spans="1:25" s="288" customFormat="1" x14ac:dyDescent="0.25">
      <c r="A104" s="304"/>
      <c r="D104" s="290"/>
      <c r="G104" s="289"/>
      <c r="I104" s="290"/>
      <c r="J104" s="299"/>
      <c r="K104" s="290"/>
      <c r="L104" s="291"/>
      <c r="M104" s="291"/>
      <c r="N104" s="291"/>
      <c r="O104" s="290"/>
      <c r="P104" s="290"/>
      <c r="Q104" s="290"/>
      <c r="R104" s="290"/>
      <c r="S104" s="291"/>
      <c r="T104" s="289"/>
      <c r="U104" s="290"/>
      <c r="V104" s="290"/>
      <c r="W104" s="290"/>
      <c r="X104" s="296"/>
      <c r="Y104" s="296"/>
    </row>
    <row r="105" spans="1:25" s="288" customFormat="1" x14ac:dyDescent="0.25">
      <c r="A105" s="304"/>
      <c r="D105" s="290"/>
      <c r="G105" s="289"/>
      <c r="I105" s="290"/>
      <c r="J105" s="299"/>
      <c r="K105" s="290"/>
      <c r="L105" s="291"/>
      <c r="M105" s="291"/>
      <c r="N105" s="291"/>
      <c r="O105" s="290"/>
      <c r="P105" s="290"/>
      <c r="Q105" s="290"/>
      <c r="R105" s="290"/>
      <c r="S105" s="291"/>
      <c r="T105" s="289"/>
      <c r="U105" s="290"/>
      <c r="V105" s="290"/>
      <c r="W105" s="290"/>
      <c r="X105" s="296"/>
      <c r="Y105" s="296"/>
    </row>
    <row r="106" spans="1:25" s="288" customFormat="1" x14ac:dyDescent="0.25">
      <c r="A106" s="304"/>
      <c r="D106" s="290"/>
      <c r="G106" s="289"/>
      <c r="I106" s="290"/>
      <c r="J106" s="299"/>
      <c r="K106" s="290"/>
      <c r="L106" s="291"/>
      <c r="M106" s="291"/>
      <c r="N106" s="291"/>
      <c r="O106" s="290"/>
      <c r="P106" s="290"/>
      <c r="Q106" s="290"/>
      <c r="R106" s="290"/>
      <c r="S106" s="291"/>
      <c r="T106" s="289"/>
      <c r="U106" s="290"/>
      <c r="V106" s="290"/>
      <c r="W106" s="290"/>
      <c r="X106" s="296"/>
      <c r="Y106" s="296"/>
    </row>
    <row r="107" spans="1:25" s="288" customFormat="1" x14ac:dyDescent="0.25">
      <c r="A107" s="304"/>
      <c r="D107" s="290"/>
      <c r="G107" s="289"/>
      <c r="I107" s="290"/>
      <c r="J107" s="299"/>
      <c r="K107" s="290"/>
      <c r="L107" s="291"/>
      <c r="M107" s="291"/>
      <c r="N107" s="291"/>
      <c r="O107" s="290"/>
      <c r="P107" s="290"/>
      <c r="Q107" s="290"/>
      <c r="R107" s="290"/>
      <c r="S107" s="291"/>
      <c r="T107" s="289"/>
      <c r="U107" s="290"/>
      <c r="V107" s="290"/>
      <c r="W107" s="290"/>
      <c r="X107" s="296"/>
      <c r="Y107" s="296"/>
    </row>
    <row r="108" spans="1:25" s="288" customFormat="1" x14ac:dyDescent="0.25">
      <c r="A108" s="304"/>
      <c r="D108" s="290"/>
      <c r="G108" s="289"/>
      <c r="I108" s="290"/>
      <c r="J108" s="299"/>
      <c r="K108" s="290"/>
      <c r="L108" s="291"/>
      <c r="M108" s="291"/>
      <c r="N108" s="291"/>
      <c r="O108" s="290"/>
      <c r="P108" s="290"/>
      <c r="Q108" s="290"/>
      <c r="R108" s="290"/>
      <c r="S108" s="291"/>
      <c r="T108" s="289"/>
      <c r="U108" s="290"/>
      <c r="V108" s="290"/>
      <c r="W108" s="290"/>
      <c r="X108" s="296"/>
      <c r="Y108" s="296"/>
    </row>
    <row r="109" spans="1:25" s="288" customFormat="1" x14ac:dyDescent="0.25">
      <c r="A109" s="304"/>
      <c r="D109" s="290"/>
      <c r="G109" s="289"/>
      <c r="I109" s="290"/>
      <c r="J109" s="299"/>
      <c r="K109" s="290"/>
      <c r="L109" s="291"/>
      <c r="M109" s="291"/>
      <c r="N109" s="291"/>
      <c r="O109" s="290"/>
      <c r="P109" s="290"/>
      <c r="Q109" s="290"/>
      <c r="R109" s="290"/>
      <c r="S109" s="291"/>
      <c r="T109" s="289"/>
      <c r="U109" s="290"/>
      <c r="V109" s="290"/>
      <c r="W109" s="290"/>
      <c r="X109" s="296"/>
      <c r="Y109" s="296"/>
    </row>
    <row r="110" spans="1:25" s="288" customFormat="1" x14ac:dyDescent="0.25">
      <c r="A110" s="304"/>
      <c r="D110" s="290"/>
      <c r="G110" s="289"/>
      <c r="I110" s="290"/>
      <c r="J110" s="299"/>
      <c r="K110" s="290"/>
      <c r="L110" s="291"/>
      <c r="M110" s="291"/>
      <c r="N110" s="291"/>
      <c r="O110" s="290"/>
      <c r="P110" s="290"/>
      <c r="Q110" s="290"/>
      <c r="R110" s="290"/>
      <c r="S110" s="291"/>
      <c r="T110" s="289"/>
      <c r="U110" s="290"/>
      <c r="V110" s="290"/>
      <c r="W110" s="290"/>
      <c r="X110" s="296"/>
      <c r="Y110" s="296"/>
    </row>
    <row r="111" spans="1:25" s="288" customFormat="1" x14ac:dyDescent="0.25">
      <c r="A111" s="304"/>
      <c r="D111" s="290"/>
      <c r="G111" s="289"/>
      <c r="I111" s="290"/>
      <c r="J111" s="299"/>
      <c r="K111" s="290"/>
      <c r="L111" s="291"/>
      <c r="M111" s="291"/>
      <c r="N111" s="291"/>
      <c r="O111" s="290"/>
      <c r="P111" s="290"/>
      <c r="Q111" s="290"/>
      <c r="R111" s="290"/>
      <c r="S111" s="291"/>
      <c r="T111" s="289"/>
      <c r="U111" s="290"/>
      <c r="V111" s="290"/>
      <c r="W111" s="290"/>
      <c r="X111" s="296"/>
      <c r="Y111" s="296"/>
    </row>
    <row r="112" spans="1:25" s="288" customFormat="1" x14ac:dyDescent="0.25">
      <c r="A112" s="304"/>
      <c r="D112" s="290"/>
      <c r="G112" s="289"/>
      <c r="I112" s="290"/>
      <c r="J112" s="299"/>
      <c r="K112" s="290"/>
      <c r="L112" s="291"/>
      <c r="M112" s="291"/>
      <c r="N112" s="291"/>
      <c r="O112" s="290"/>
      <c r="P112" s="290"/>
      <c r="Q112" s="290"/>
      <c r="R112" s="290"/>
      <c r="S112" s="291"/>
      <c r="T112" s="289"/>
      <c r="U112" s="290"/>
      <c r="V112" s="290"/>
      <c r="W112" s="290"/>
      <c r="X112" s="296"/>
      <c r="Y112" s="296"/>
    </row>
    <row r="113" spans="1:25" s="288" customFormat="1" x14ac:dyDescent="0.25">
      <c r="A113" s="304"/>
      <c r="D113" s="290"/>
      <c r="G113" s="289"/>
      <c r="I113" s="290"/>
      <c r="J113" s="299"/>
      <c r="K113" s="290"/>
      <c r="L113" s="291"/>
      <c r="M113" s="291"/>
      <c r="N113" s="291"/>
      <c r="O113" s="290"/>
      <c r="P113" s="290"/>
      <c r="Q113" s="290"/>
      <c r="R113" s="290"/>
      <c r="S113" s="291"/>
      <c r="T113" s="289"/>
      <c r="U113" s="290"/>
      <c r="V113" s="290"/>
      <c r="W113" s="290"/>
      <c r="X113" s="296"/>
      <c r="Y113" s="296"/>
    </row>
    <row r="114" spans="1:25" s="288" customFormat="1" x14ac:dyDescent="0.25">
      <c r="A114" s="304"/>
      <c r="D114" s="290"/>
      <c r="G114" s="289"/>
      <c r="I114" s="290"/>
      <c r="J114" s="299"/>
      <c r="K114" s="290"/>
      <c r="L114" s="291"/>
      <c r="M114" s="291"/>
      <c r="N114" s="291"/>
      <c r="O114" s="290"/>
      <c r="P114" s="290"/>
      <c r="Q114" s="290"/>
      <c r="R114" s="290"/>
      <c r="S114" s="291"/>
      <c r="T114" s="289"/>
      <c r="U114" s="290"/>
      <c r="V114" s="290"/>
      <c r="W114" s="290"/>
      <c r="X114" s="296"/>
      <c r="Y114" s="296"/>
    </row>
    <row r="115" spans="1:25" s="288" customFormat="1" x14ac:dyDescent="0.25">
      <c r="A115" s="304"/>
      <c r="D115" s="290"/>
      <c r="G115" s="289"/>
      <c r="I115" s="290"/>
      <c r="J115" s="299"/>
      <c r="K115" s="290"/>
      <c r="L115" s="291"/>
      <c r="M115" s="291"/>
      <c r="N115" s="291"/>
      <c r="O115" s="290"/>
      <c r="P115" s="290"/>
      <c r="Q115" s="290"/>
      <c r="R115" s="290"/>
      <c r="S115" s="291"/>
      <c r="T115" s="289"/>
      <c r="U115" s="290"/>
      <c r="V115" s="290"/>
      <c r="W115" s="290"/>
      <c r="X115" s="296"/>
      <c r="Y115" s="296"/>
    </row>
    <row r="116" spans="1:25" s="288" customFormat="1" x14ac:dyDescent="0.25">
      <c r="A116" s="304"/>
      <c r="D116" s="290"/>
      <c r="G116" s="289"/>
      <c r="I116" s="290"/>
      <c r="J116" s="299"/>
      <c r="K116" s="290"/>
      <c r="L116" s="291"/>
      <c r="M116" s="291"/>
      <c r="N116" s="291"/>
      <c r="O116" s="290"/>
      <c r="P116" s="290"/>
      <c r="Q116" s="290"/>
      <c r="R116" s="290"/>
      <c r="S116" s="291"/>
      <c r="T116" s="289"/>
      <c r="U116" s="290"/>
      <c r="V116" s="290"/>
      <c r="W116" s="290"/>
      <c r="X116" s="296"/>
      <c r="Y116" s="296"/>
    </row>
    <row r="117" spans="1:25" s="288" customFormat="1" x14ac:dyDescent="0.25">
      <c r="A117" s="304"/>
      <c r="D117" s="290"/>
      <c r="G117" s="289"/>
      <c r="I117" s="290"/>
      <c r="J117" s="299"/>
      <c r="K117" s="290"/>
      <c r="L117" s="291"/>
      <c r="M117" s="291"/>
      <c r="N117" s="291"/>
      <c r="O117" s="290"/>
      <c r="P117" s="290"/>
      <c r="Q117" s="290"/>
      <c r="R117" s="290"/>
      <c r="S117" s="291"/>
      <c r="T117" s="289"/>
      <c r="U117" s="290"/>
      <c r="V117" s="290"/>
      <c r="W117" s="290"/>
      <c r="X117" s="296"/>
      <c r="Y117" s="296"/>
    </row>
    <row r="118" spans="1:25" s="288" customFormat="1" x14ac:dyDescent="0.25">
      <c r="A118" s="304"/>
      <c r="D118" s="290"/>
      <c r="G118" s="289"/>
      <c r="I118" s="290"/>
      <c r="J118" s="299"/>
      <c r="K118" s="290"/>
      <c r="L118" s="291"/>
      <c r="M118" s="291"/>
      <c r="N118" s="291"/>
      <c r="O118" s="290"/>
      <c r="P118" s="290"/>
      <c r="Q118" s="290"/>
      <c r="R118" s="290"/>
      <c r="S118" s="291"/>
      <c r="T118" s="289"/>
      <c r="U118" s="290"/>
      <c r="V118" s="290"/>
      <c r="W118" s="290"/>
      <c r="X118" s="296"/>
      <c r="Y118" s="296"/>
    </row>
    <row r="119" spans="1:25" s="288" customFormat="1" x14ac:dyDescent="0.25">
      <c r="A119" s="304"/>
      <c r="D119" s="290"/>
      <c r="G119" s="289"/>
      <c r="I119" s="290"/>
      <c r="J119" s="299"/>
      <c r="K119" s="290"/>
      <c r="L119" s="291"/>
      <c r="M119" s="291"/>
      <c r="N119" s="291"/>
      <c r="O119" s="290"/>
      <c r="P119" s="290"/>
      <c r="Q119" s="290"/>
      <c r="R119" s="290"/>
      <c r="S119" s="291"/>
      <c r="T119" s="289"/>
      <c r="U119" s="290"/>
      <c r="V119" s="290"/>
      <c r="W119" s="290"/>
      <c r="X119" s="296"/>
      <c r="Y119" s="296"/>
    </row>
    <row r="120" spans="1:25" s="288" customFormat="1" x14ac:dyDescent="0.25">
      <c r="A120" s="304"/>
      <c r="D120" s="290"/>
      <c r="G120" s="289"/>
      <c r="I120" s="290"/>
      <c r="J120" s="299"/>
      <c r="K120" s="290"/>
      <c r="L120" s="291"/>
      <c r="M120" s="291"/>
      <c r="N120" s="291"/>
      <c r="O120" s="290"/>
      <c r="P120" s="290"/>
      <c r="Q120" s="290"/>
      <c r="R120" s="290"/>
      <c r="S120" s="291"/>
      <c r="T120" s="289"/>
      <c r="U120" s="290"/>
      <c r="V120" s="290"/>
      <c r="W120" s="290"/>
      <c r="X120" s="296"/>
      <c r="Y120" s="296"/>
    </row>
    <row r="121" spans="1:25" s="288" customFormat="1" x14ac:dyDescent="0.25">
      <c r="A121" s="304"/>
      <c r="D121" s="290"/>
      <c r="G121" s="289"/>
      <c r="I121" s="290"/>
      <c r="J121" s="299"/>
      <c r="K121" s="290"/>
      <c r="L121" s="291"/>
      <c r="M121" s="291"/>
      <c r="N121" s="291"/>
      <c r="O121" s="290"/>
      <c r="P121" s="290"/>
      <c r="Q121" s="290"/>
      <c r="R121" s="290"/>
      <c r="S121" s="291"/>
      <c r="T121" s="289"/>
      <c r="U121" s="290"/>
      <c r="V121" s="290"/>
      <c r="W121" s="290"/>
      <c r="X121" s="296"/>
      <c r="Y121" s="296"/>
    </row>
    <row r="122" spans="1:25" s="288" customFormat="1" x14ac:dyDescent="0.25">
      <c r="A122" s="304"/>
      <c r="D122" s="290"/>
      <c r="G122" s="289"/>
      <c r="I122" s="290"/>
      <c r="J122" s="299"/>
      <c r="K122" s="290"/>
      <c r="L122" s="291"/>
      <c r="M122" s="291"/>
      <c r="N122" s="291"/>
      <c r="O122" s="290"/>
      <c r="P122" s="290"/>
      <c r="Q122" s="290"/>
      <c r="R122" s="290"/>
      <c r="S122" s="291"/>
      <c r="T122" s="289"/>
      <c r="U122" s="290"/>
      <c r="V122" s="290"/>
      <c r="W122" s="290"/>
      <c r="X122" s="296"/>
      <c r="Y122" s="296"/>
    </row>
    <row r="123" spans="1:25" s="288" customFormat="1" x14ac:dyDescent="0.25">
      <c r="A123" s="304"/>
      <c r="D123" s="290"/>
      <c r="G123" s="289"/>
      <c r="I123" s="290"/>
      <c r="J123" s="299"/>
      <c r="K123" s="290"/>
      <c r="L123" s="291"/>
      <c r="M123" s="291"/>
      <c r="N123" s="291"/>
      <c r="O123" s="290"/>
      <c r="P123" s="290"/>
      <c r="Q123" s="290"/>
      <c r="R123" s="290"/>
      <c r="S123" s="291"/>
      <c r="T123" s="289"/>
      <c r="U123" s="290"/>
      <c r="V123" s="290"/>
      <c r="W123" s="290"/>
      <c r="X123" s="296"/>
      <c r="Y123" s="296"/>
    </row>
    <row r="124" spans="1:25" s="288" customFormat="1" x14ac:dyDescent="0.25">
      <c r="A124" s="304"/>
      <c r="D124" s="290"/>
      <c r="G124" s="289"/>
      <c r="I124" s="290"/>
      <c r="J124" s="299"/>
      <c r="K124" s="290"/>
      <c r="L124" s="291"/>
      <c r="M124" s="291"/>
      <c r="N124" s="291"/>
      <c r="O124" s="290"/>
      <c r="P124" s="290"/>
      <c r="Q124" s="290"/>
      <c r="R124" s="290"/>
      <c r="S124" s="291"/>
      <c r="T124" s="289"/>
      <c r="U124" s="290"/>
      <c r="V124" s="290"/>
      <c r="W124" s="290"/>
      <c r="X124" s="296"/>
      <c r="Y124" s="296"/>
    </row>
    <row r="125" spans="1:25" s="288" customFormat="1" x14ac:dyDescent="0.25">
      <c r="A125" s="304"/>
      <c r="D125" s="290"/>
      <c r="G125" s="289"/>
      <c r="I125" s="290"/>
      <c r="J125" s="299"/>
      <c r="K125" s="290"/>
      <c r="L125" s="291"/>
      <c r="M125" s="291"/>
      <c r="N125" s="291"/>
      <c r="O125" s="290"/>
      <c r="P125" s="290"/>
      <c r="Q125" s="290"/>
      <c r="R125" s="290"/>
      <c r="S125" s="291"/>
      <c r="T125" s="289"/>
      <c r="U125" s="290"/>
      <c r="V125" s="290"/>
      <c r="W125" s="290"/>
      <c r="X125" s="296"/>
      <c r="Y125" s="296"/>
    </row>
    <row r="126" spans="1:25" s="288" customFormat="1" x14ac:dyDescent="0.25">
      <c r="A126" s="304"/>
      <c r="D126" s="290"/>
      <c r="G126" s="289"/>
      <c r="I126" s="290"/>
      <c r="J126" s="299"/>
      <c r="K126" s="290"/>
      <c r="L126" s="291"/>
      <c r="M126" s="291"/>
      <c r="N126" s="291"/>
      <c r="O126" s="290"/>
      <c r="P126" s="290"/>
      <c r="Q126" s="290"/>
      <c r="R126" s="290"/>
      <c r="S126" s="291"/>
      <c r="T126" s="289"/>
      <c r="U126" s="290"/>
      <c r="V126" s="290"/>
      <c r="W126" s="290"/>
      <c r="X126" s="296"/>
      <c r="Y126" s="296"/>
    </row>
    <row r="127" spans="1:25" s="288" customFormat="1" x14ac:dyDescent="0.25">
      <c r="A127" s="304"/>
      <c r="D127" s="290"/>
      <c r="G127" s="289"/>
      <c r="I127" s="290"/>
      <c r="J127" s="299"/>
      <c r="K127" s="290"/>
      <c r="L127" s="291"/>
      <c r="M127" s="291"/>
      <c r="N127" s="291"/>
      <c r="O127" s="290"/>
      <c r="P127" s="290"/>
      <c r="Q127" s="290"/>
      <c r="R127" s="290"/>
      <c r="S127" s="291"/>
      <c r="T127" s="289"/>
      <c r="U127" s="290"/>
      <c r="V127" s="290"/>
      <c r="W127" s="290"/>
      <c r="X127" s="296"/>
      <c r="Y127" s="296"/>
    </row>
    <row r="128" spans="1:25" s="288" customFormat="1" x14ac:dyDescent="0.25">
      <c r="A128" s="304"/>
      <c r="D128" s="290"/>
      <c r="G128" s="289"/>
      <c r="I128" s="290"/>
      <c r="J128" s="299"/>
      <c r="K128" s="290"/>
      <c r="L128" s="291"/>
      <c r="M128" s="291"/>
      <c r="N128" s="291"/>
      <c r="O128" s="290"/>
      <c r="P128" s="290"/>
      <c r="Q128" s="290"/>
      <c r="R128" s="290"/>
      <c r="S128" s="291"/>
      <c r="T128" s="289"/>
      <c r="U128" s="290"/>
      <c r="V128" s="290"/>
      <c r="W128" s="290"/>
      <c r="X128" s="296"/>
      <c r="Y128" s="296"/>
    </row>
    <row r="129" spans="1:25" s="288" customFormat="1" x14ac:dyDescent="0.25">
      <c r="A129" s="304"/>
      <c r="D129" s="290"/>
      <c r="G129" s="289"/>
      <c r="I129" s="290"/>
      <c r="J129" s="299"/>
      <c r="K129" s="290"/>
      <c r="L129" s="291"/>
      <c r="M129" s="291"/>
      <c r="N129" s="291"/>
      <c r="O129" s="290"/>
      <c r="P129" s="290"/>
      <c r="Q129" s="290"/>
      <c r="R129" s="290"/>
      <c r="S129" s="291"/>
      <c r="T129" s="289"/>
      <c r="U129" s="290"/>
      <c r="V129" s="290"/>
      <c r="W129" s="290"/>
      <c r="X129" s="296"/>
      <c r="Y129" s="296"/>
    </row>
    <row r="130" spans="1:25" s="288" customFormat="1" x14ac:dyDescent="0.25">
      <c r="A130" s="304"/>
      <c r="D130" s="290"/>
      <c r="G130" s="289"/>
      <c r="I130" s="290"/>
      <c r="J130" s="299"/>
      <c r="K130" s="290"/>
      <c r="L130" s="291"/>
      <c r="M130" s="291"/>
      <c r="N130" s="291"/>
      <c r="O130" s="290"/>
      <c r="P130" s="290"/>
      <c r="Q130" s="290"/>
      <c r="R130" s="290"/>
      <c r="S130" s="291"/>
      <c r="T130" s="289"/>
      <c r="U130" s="290"/>
      <c r="V130" s="290"/>
      <c r="W130" s="290"/>
      <c r="X130" s="296"/>
      <c r="Y130" s="296"/>
    </row>
    <row r="131" spans="1:25" s="288" customFormat="1" x14ac:dyDescent="0.25">
      <c r="A131" s="304"/>
      <c r="D131" s="290"/>
      <c r="G131" s="289"/>
      <c r="I131" s="290"/>
      <c r="J131" s="299"/>
      <c r="K131" s="290"/>
      <c r="L131" s="291"/>
      <c r="M131" s="291"/>
      <c r="N131" s="291"/>
      <c r="O131" s="290"/>
      <c r="P131" s="290"/>
      <c r="Q131" s="290"/>
      <c r="R131" s="290"/>
      <c r="S131" s="291"/>
      <c r="T131" s="289"/>
      <c r="U131" s="290"/>
      <c r="V131" s="290"/>
      <c r="W131" s="290"/>
      <c r="X131" s="296"/>
      <c r="Y131" s="296"/>
    </row>
    <row r="132" spans="1:25" s="288" customFormat="1" x14ac:dyDescent="0.25">
      <c r="A132" s="304"/>
      <c r="D132" s="290"/>
      <c r="G132" s="289"/>
      <c r="I132" s="290"/>
      <c r="J132" s="299"/>
      <c r="K132" s="290"/>
      <c r="L132" s="291"/>
      <c r="M132" s="291"/>
      <c r="N132" s="291"/>
      <c r="O132" s="290"/>
      <c r="P132" s="290"/>
      <c r="Q132" s="290"/>
      <c r="R132" s="290"/>
      <c r="S132" s="291"/>
      <c r="T132" s="289"/>
      <c r="U132" s="290"/>
      <c r="V132" s="290"/>
      <c r="W132" s="290"/>
      <c r="X132" s="296"/>
      <c r="Y132" s="296"/>
    </row>
    <row r="133" spans="1:25" s="288" customFormat="1" x14ac:dyDescent="0.25">
      <c r="A133" s="304"/>
      <c r="D133" s="290"/>
      <c r="G133" s="289"/>
      <c r="I133" s="290"/>
      <c r="J133" s="299"/>
      <c r="K133" s="290"/>
      <c r="L133" s="291"/>
      <c r="M133" s="291"/>
      <c r="N133" s="291"/>
      <c r="O133" s="290"/>
      <c r="P133" s="290"/>
      <c r="Q133" s="290"/>
      <c r="R133" s="290"/>
      <c r="S133" s="291"/>
      <c r="T133" s="289"/>
      <c r="U133" s="290"/>
      <c r="V133" s="290"/>
      <c r="W133" s="290"/>
      <c r="X133" s="296"/>
      <c r="Y133" s="296"/>
    </row>
    <row r="134" spans="1:25" s="288" customFormat="1" x14ac:dyDescent="0.25">
      <c r="A134" s="304"/>
      <c r="D134" s="290"/>
      <c r="G134" s="289"/>
      <c r="I134" s="290"/>
      <c r="J134" s="299"/>
      <c r="K134" s="290"/>
      <c r="L134" s="291"/>
      <c r="M134" s="291"/>
      <c r="N134" s="291"/>
      <c r="O134" s="290"/>
      <c r="P134" s="290"/>
      <c r="Q134" s="290"/>
      <c r="R134" s="290"/>
      <c r="S134" s="291"/>
      <c r="T134" s="289"/>
      <c r="U134" s="290"/>
      <c r="V134" s="290"/>
      <c r="W134" s="290"/>
      <c r="X134" s="296"/>
      <c r="Y134" s="296"/>
    </row>
    <row r="135" spans="1:25" s="288" customFormat="1" x14ac:dyDescent="0.25">
      <c r="A135" s="304"/>
      <c r="D135" s="290"/>
      <c r="G135" s="289"/>
      <c r="I135" s="290"/>
      <c r="J135" s="299"/>
      <c r="K135" s="290"/>
      <c r="L135" s="291"/>
      <c r="M135" s="291"/>
      <c r="N135" s="291"/>
      <c r="O135" s="290"/>
      <c r="P135" s="290"/>
      <c r="Q135" s="290"/>
      <c r="R135" s="290"/>
      <c r="S135" s="291"/>
      <c r="T135" s="289"/>
      <c r="U135" s="290"/>
      <c r="V135" s="290"/>
      <c r="W135" s="290"/>
      <c r="X135" s="296"/>
      <c r="Y135" s="296"/>
    </row>
    <row r="136" spans="1:25" s="288" customFormat="1" x14ac:dyDescent="0.25">
      <c r="A136" s="304"/>
      <c r="D136" s="290"/>
      <c r="G136" s="289"/>
      <c r="I136" s="290"/>
      <c r="J136" s="299"/>
      <c r="K136" s="290"/>
      <c r="L136" s="291"/>
      <c r="M136" s="291"/>
      <c r="N136" s="291"/>
      <c r="O136" s="290"/>
      <c r="P136" s="290"/>
      <c r="Q136" s="290"/>
      <c r="R136" s="290"/>
      <c r="S136" s="291"/>
      <c r="T136" s="289"/>
      <c r="U136" s="290"/>
      <c r="V136" s="290"/>
      <c r="W136" s="290"/>
      <c r="X136" s="296"/>
      <c r="Y136" s="296"/>
    </row>
    <row r="137" spans="1:25" s="288" customFormat="1" x14ac:dyDescent="0.25">
      <c r="A137" s="304"/>
      <c r="D137" s="290"/>
      <c r="G137" s="289"/>
      <c r="I137" s="290"/>
      <c r="J137" s="299"/>
      <c r="K137" s="290"/>
      <c r="L137" s="291"/>
      <c r="M137" s="291"/>
      <c r="N137" s="291"/>
      <c r="O137" s="290"/>
      <c r="P137" s="290"/>
      <c r="Q137" s="290"/>
      <c r="R137" s="290"/>
      <c r="S137" s="291"/>
      <c r="T137" s="289"/>
      <c r="U137" s="290"/>
      <c r="V137" s="290"/>
      <c r="W137" s="290"/>
      <c r="X137" s="296"/>
      <c r="Y137" s="296"/>
    </row>
    <row r="138" spans="1:25" s="288" customFormat="1" x14ac:dyDescent="0.25">
      <c r="A138" s="304"/>
      <c r="D138" s="290"/>
      <c r="G138" s="289"/>
      <c r="I138" s="290"/>
      <c r="J138" s="299"/>
      <c r="K138" s="290"/>
      <c r="L138" s="291"/>
      <c r="M138" s="291"/>
      <c r="N138" s="291"/>
      <c r="O138" s="290"/>
      <c r="P138" s="290"/>
      <c r="Q138" s="290"/>
      <c r="R138" s="290"/>
      <c r="S138" s="291"/>
      <c r="T138" s="289"/>
      <c r="U138" s="290"/>
      <c r="V138" s="290"/>
      <c r="W138" s="290"/>
      <c r="X138" s="296"/>
      <c r="Y138" s="296"/>
    </row>
    <row r="139" spans="1:25" s="288" customFormat="1" x14ac:dyDescent="0.25">
      <c r="A139" s="304"/>
      <c r="D139" s="290"/>
      <c r="G139" s="289"/>
      <c r="I139" s="290"/>
      <c r="J139" s="299"/>
      <c r="K139" s="290"/>
      <c r="L139" s="291"/>
      <c r="M139" s="291"/>
      <c r="N139" s="291"/>
      <c r="O139" s="290"/>
      <c r="P139" s="290"/>
      <c r="Q139" s="290"/>
      <c r="R139" s="290"/>
      <c r="S139" s="291"/>
      <c r="T139" s="289"/>
      <c r="U139" s="290"/>
      <c r="V139" s="290"/>
      <c r="W139" s="290"/>
      <c r="X139" s="296"/>
      <c r="Y139" s="296"/>
    </row>
    <row r="140" spans="1:25" s="288" customFormat="1" x14ac:dyDescent="0.25">
      <c r="A140" s="304"/>
      <c r="D140" s="290"/>
      <c r="G140" s="289"/>
      <c r="I140" s="290"/>
      <c r="J140" s="299"/>
      <c r="K140" s="290"/>
      <c r="L140" s="291"/>
      <c r="M140" s="291"/>
      <c r="N140" s="291"/>
      <c r="O140" s="290"/>
      <c r="P140" s="290"/>
      <c r="Q140" s="290"/>
      <c r="R140" s="290"/>
      <c r="S140" s="291"/>
      <c r="T140" s="289"/>
      <c r="U140" s="290"/>
      <c r="V140" s="290"/>
      <c r="W140" s="290"/>
      <c r="X140" s="296"/>
      <c r="Y140" s="296"/>
    </row>
    <row r="141" spans="1:25" s="288" customFormat="1" x14ac:dyDescent="0.25">
      <c r="A141" s="304"/>
      <c r="D141" s="290"/>
      <c r="G141" s="289"/>
      <c r="I141" s="290"/>
      <c r="J141" s="299"/>
      <c r="K141" s="290"/>
      <c r="L141" s="291"/>
      <c r="M141" s="291"/>
      <c r="N141" s="291"/>
      <c r="O141" s="290"/>
      <c r="P141" s="290"/>
      <c r="Q141" s="290"/>
      <c r="R141" s="290"/>
      <c r="S141" s="291"/>
      <c r="T141" s="289"/>
      <c r="U141" s="290"/>
      <c r="V141" s="290"/>
      <c r="W141" s="290"/>
      <c r="X141" s="296"/>
      <c r="Y141" s="296"/>
    </row>
    <row r="142" spans="1:25" s="288" customFormat="1" x14ac:dyDescent="0.25">
      <c r="A142" s="304"/>
      <c r="D142" s="290"/>
      <c r="G142" s="289"/>
      <c r="I142" s="290"/>
      <c r="J142" s="299"/>
      <c r="K142" s="290"/>
      <c r="L142" s="291"/>
      <c r="M142" s="291"/>
      <c r="N142" s="291"/>
      <c r="O142" s="290"/>
      <c r="P142" s="290"/>
      <c r="Q142" s="290"/>
      <c r="R142" s="290"/>
      <c r="S142" s="291"/>
      <c r="T142" s="289"/>
      <c r="U142" s="290"/>
      <c r="V142" s="290"/>
      <c r="W142" s="290"/>
      <c r="X142" s="296"/>
      <c r="Y142" s="296"/>
    </row>
    <row r="143" spans="1:25" s="288" customFormat="1" x14ac:dyDescent="0.25">
      <c r="A143" s="304"/>
      <c r="D143" s="290"/>
      <c r="G143" s="289"/>
      <c r="I143" s="290"/>
      <c r="J143" s="299"/>
      <c r="K143" s="290"/>
      <c r="L143" s="291"/>
      <c r="M143" s="291"/>
      <c r="N143" s="291"/>
      <c r="O143" s="290"/>
      <c r="P143" s="290"/>
      <c r="Q143" s="290"/>
      <c r="R143" s="290"/>
      <c r="S143" s="291"/>
      <c r="T143" s="289"/>
      <c r="U143" s="290"/>
      <c r="V143" s="290"/>
      <c r="W143" s="290"/>
      <c r="X143" s="296"/>
      <c r="Y143" s="296"/>
    </row>
    <row r="144" spans="1:25" s="288" customFormat="1" x14ac:dyDescent="0.25">
      <c r="A144" s="304"/>
      <c r="D144" s="290"/>
      <c r="G144" s="289"/>
      <c r="I144" s="290"/>
      <c r="J144" s="299"/>
      <c r="K144" s="290"/>
      <c r="L144" s="291"/>
      <c r="M144" s="291"/>
      <c r="N144" s="291"/>
      <c r="O144" s="290"/>
      <c r="P144" s="290"/>
      <c r="Q144" s="290"/>
      <c r="R144" s="290"/>
      <c r="S144" s="291"/>
      <c r="T144" s="289"/>
      <c r="U144" s="290"/>
      <c r="V144" s="290"/>
      <c r="W144" s="290"/>
      <c r="X144" s="296"/>
      <c r="Y144" s="296"/>
    </row>
    <row r="145" spans="1:25" s="288" customFormat="1" x14ac:dyDescent="0.25">
      <c r="A145" s="304"/>
      <c r="D145" s="290"/>
      <c r="G145" s="289"/>
      <c r="I145" s="290"/>
      <c r="J145" s="299"/>
      <c r="K145" s="290"/>
      <c r="L145" s="291"/>
      <c r="M145" s="291"/>
      <c r="N145" s="291"/>
      <c r="O145" s="290"/>
      <c r="P145" s="290"/>
      <c r="Q145" s="290"/>
      <c r="R145" s="290"/>
      <c r="S145" s="291"/>
      <c r="T145" s="289"/>
      <c r="U145" s="290"/>
      <c r="V145" s="290"/>
      <c r="W145" s="290"/>
      <c r="X145" s="296"/>
      <c r="Y145" s="296"/>
    </row>
    <row r="146" spans="1:25" s="288" customFormat="1" x14ac:dyDescent="0.25">
      <c r="A146" s="304"/>
      <c r="D146" s="290"/>
      <c r="G146" s="289"/>
      <c r="I146" s="290"/>
      <c r="J146" s="299"/>
      <c r="K146" s="290"/>
      <c r="L146" s="291"/>
      <c r="M146" s="291"/>
      <c r="N146" s="291"/>
      <c r="O146" s="290"/>
      <c r="P146" s="290"/>
      <c r="Q146" s="290"/>
      <c r="R146" s="290"/>
      <c r="S146" s="291"/>
      <c r="T146" s="289"/>
      <c r="U146" s="290"/>
      <c r="V146" s="290"/>
      <c r="W146" s="290"/>
      <c r="X146" s="296"/>
      <c r="Y146" s="296"/>
    </row>
    <row r="147" spans="1:25" s="288" customFormat="1" x14ac:dyDescent="0.25">
      <c r="A147" s="304"/>
      <c r="D147" s="290"/>
      <c r="G147" s="289"/>
      <c r="I147" s="290"/>
      <c r="J147" s="299"/>
      <c r="K147" s="290"/>
      <c r="L147" s="291"/>
      <c r="M147" s="291"/>
      <c r="N147" s="291"/>
      <c r="O147" s="290"/>
      <c r="P147" s="290"/>
      <c r="Q147" s="290"/>
      <c r="R147" s="290"/>
      <c r="S147" s="291"/>
      <c r="T147" s="289"/>
      <c r="U147" s="290"/>
      <c r="V147" s="290"/>
      <c r="W147" s="290"/>
      <c r="X147" s="296"/>
      <c r="Y147" s="296"/>
    </row>
    <row r="148" spans="1:25" s="288" customFormat="1" x14ac:dyDescent="0.25">
      <c r="A148" s="304"/>
      <c r="D148" s="290"/>
      <c r="G148" s="289"/>
      <c r="I148" s="290"/>
      <c r="J148" s="299"/>
      <c r="K148" s="290"/>
      <c r="L148" s="291"/>
      <c r="M148" s="291"/>
      <c r="N148" s="291"/>
      <c r="O148" s="290"/>
      <c r="P148" s="290"/>
      <c r="Q148" s="290"/>
      <c r="R148" s="290"/>
      <c r="S148" s="291"/>
      <c r="T148" s="289"/>
      <c r="U148" s="290"/>
      <c r="V148" s="290"/>
      <c r="W148" s="290"/>
      <c r="X148" s="296"/>
      <c r="Y148" s="296"/>
    </row>
    <row r="149" spans="1:25" s="288" customFormat="1" x14ac:dyDescent="0.25">
      <c r="A149" s="304"/>
      <c r="D149" s="290"/>
      <c r="G149" s="289"/>
      <c r="I149" s="290"/>
      <c r="J149" s="299"/>
      <c r="K149" s="290"/>
      <c r="L149" s="291"/>
      <c r="M149" s="291"/>
      <c r="N149" s="291"/>
      <c r="O149" s="290"/>
      <c r="P149" s="290"/>
      <c r="Q149" s="290"/>
      <c r="R149" s="290"/>
      <c r="S149" s="291"/>
      <c r="T149" s="289"/>
      <c r="U149" s="290"/>
      <c r="V149" s="290"/>
      <c r="W149" s="290"/>
      <c r="X149" s="296"/>
      <c r="Y149" s="296"/>
    </row>
    <row r="150" spans="1:25" s="288" customFormat="1" x14ac:dyDescent="0.25">
      <c r="A150" s="304"/>
      <c r="D150" s="290"/>
      <c r="G150" s="289"/>
      <c r="I150" s="290"/>
      <c r="J150" s="299"/>
      <c r="K150" s="290"/>
      <c r="L150" s="291"/>
      <c r="M150" s="291"/>
      <c r="N150" s="291"/>
      <c r="O150" s="290"/>
      <c r="P150" s="290"/>
      <c r="Q150" s="290"/>
      <c r="R150" s="290"/>
      <c r="S150" s="291"/>
      <c r="T150" s="289"/>
      <c r="U150" s="290"/>
      <c r="V150" s="290"/>
      <c r="W150" s="290"/>
      <c r="X150" s="296"/>
      <c r="Y150" s="296"/>
    </row>
    <row r="151" spans="1:25" s="288" customFormat="1" x14ac:dyDescent="0.25">
      <c r="A151" s="304"/>
      <c r="D151" s="290"/>
      <c r="G151" s="289"/>
      <c r="I151" s="290"/>
      <c r="J151" s="299"/>
      <c r="K151" s="290"/>
      <c r="L151" s="291"/>
      <c r="M151" s="291"/>
      <c r="N151" s="291"/>
      <c r="O151" s="290"/>
      <c r="P151" s="290"/>
      <c r="Q151" s="290"/>
      <c r="R151" s="290"/>
      <c r="S151" s="291"/>
      <c r="T151" s="289"/>
      <c r="U151" s="290"/>
      <c r="V151" s="290"/>
      <c r="W151" s="290"/>
      <c r="X151" s="296"/>
      <c r="Y151" s="296"/>
    </row>
    <row r="152" spans="1:25" s="288" customFormat="1" x14ac:dyDescent="0.25">
      <c r="A152" s="304"/>
      <c r="D152" s="290"/>
      <c r="G152" s="289"/>
      <c r="I152" s="290"/>
      <c r="J152" s="299"/>
      <c r="K152" s="290"/>
      <c r="L152" s="291"/>
      <c r="M152" s="291"/>
      <c r="N152" s="291"/>
      <c r="O152" s="290"/>
      <c r="P152" s="290"/>
      <c r="Q152" s="290"/>
      <c r="R152" s="290"/>
      <c r="S152" s="291"/>
      <c r="T152" s="289"/>
      <c r="U152" s="290"/>
      <c r="V152" s="290"/>
      <c r="W152" s="290"/>
      <c r="X152" s="296"/>
      <c r="Y152" s="296"/>
    </row>
    <row r="153" spans="1:25" s="288" customFormat="1" x14ac:dyDescent="0.25">
      <c r="A153" s="304"/>
      <c r="D153" s="290"/>
      <c r="G153" s="289"/>
      <c r="I153" s="290"/>
      <c r="J153" s="299"/>
      <c r="K153" s="290"/>
      <c r="L153" s="291"/>
      <c r="M153" s="291"/>
      <c r="N153" s="291"/>
      <c r="O153" s="290"/>
      <c r="P153" s="290"/>
      <c r="Q153" s="290"/>
      <c r="R153" s="290"/>
      <c r="S153" s="291"/>
      <c r="T153" s="289"/>
      <c r="U153" s="290"/>
      <c r="V153" s="290"/>
      <c r="W153" s="290"/>
      <c r="X153" s="296"/>
      <c r="Y153" s="296"/>
    </row>
    <row r="154" spans="1:25" s="288" customFormat="1" x14ac:dyDescent="0.25">
      <c r="A154" s="304"/>
      <c r="D154" s="290"/>
      <c r="G154" s="289"/>
      <c r="I154" s="290"/>
      <c r="J154" s="299"/>
      <c r="K154" s="290"/>
      <c r="L154" s="291"/>
      <c r="M154" s="291"/>
      <c r="N154" s="291"/>
      <c r="O154" s="290"/>
      <c r="P154" s="290"/>
      <c r="Q154" s="290"/>
      <c r="R154" s="290"/>
      <c r="S154" s="291"/>
      <c r="T154" s="289"/>
      <c r="U154" s="290"/>
      <c r="V154" s="290"/>
      <c r="W154" s="290"/>
      <c r="X154" s="296"/>
      <c r="Y154" s="296"/>
    </row>
    <row r="155" spans="1:25" s="288" customFormat="1" x14ac:dyDescent="0.25">
      <c r="A155" s="304"/>
      <c r="D155" s="290"/>
      <c r="G155" s="289"/>
      <c r="I155" s="290"/>
      <c r="J155" s="299"/>
      <c r="K155" s="290"/>
      <c r="L155" s="291"/>
      <c r="M155" s="291"/>
      <c r="N155" s="291"/>
      <c r="O155" s="290"/>
      <c r="P155" s="290"/>
      <c r="Q155" s="290"/>
      <c r="R155" s="290"/>
      <c r="S155" s="291"/>
      <c r="T155" s="289"/>
      <c r="U155" s="290"/>
      <c r="V155" s="290"/>
      <c r="W155" s="290"/>
      <c r="X155" s="296"/>
      <c r="Y155" s="296"/>
    </row>
    <row r="156" spans="1:25" s="288" customFormat="1" x14ac:dyDescent="0.25">
      <c r="A156" s="304"/>
      <c r="D156" s="290"/>
      <c r="G156" s="289"/>
      <c r="I156" s="290"/>
      <c r="J156" s="299"/>
      <c r="K156" s="290"/>
      <c r="L156" s="291"/>
      <c r="M156" s="291"/>
      <c r="N156" s="291"/>
      <c r="O156" s="290"/>
      <c r="P156" s="290"/>
      <c r="Q156" s="290"/>
      <c r="R156" s="290"/>
      <c r="S156" s="291"/>
      <c r="T156" s="289"/>
      <c r="U156" s="290"/>
      <c r="V156" s="290"/>
      <c r="W156" s="290"/>
      <c r="X156" s="296"/>
      <c r="Y156" s="296"/>
    </row>
    <row r="157" spans="1:25" s="288" customFormat="1" x14ac:dyDescent="0.25">
      <c r="A157" s="304"/>
      <c r="D157" s="290"/>
      <c r="G157" s="289"/>
      <c r="I157" s="290"/>
      <c r="J157" s="299"/>
      <c r="K157" s="290"/>
      <c r="L157" s="291"/>
      <c r="M157" s="291"/>
      <c r="N157" s="291"/>
      <c r="O157" s="290"/>
      <c r="P157" s="290"/>
      <c r="Q157" s="290"/>
      <c r="R157" s="290"/>
      <c r="S157" s="291"/>
      <c r="T157" s="289"/>
      <c r="U157" s="290"/>
      <c r="V157" s="290"/>
      <c r="W157" s="290"/>
      <c r="X157" s="296"/>
      <c r="Y157" s="296"/>
    </row>
    <row r="158" spans="1:25" s="288" customFormat="1" x14ac:dyDescent="0.25">
      <c r="A158" s="304"/>
      <c r="D158" s="290"/>
      <c r="G158" s="289"/>
      <c r="I158" s="290"/>
      <c r="J158" s="299"/>
      <c r="K158" s="290"/>
      <c r="L158" s="291"/>
      <c r="M158" s="291"/>
      <c r="N158" s="291"/>
      <c r="O158" s="290"/>
      <c r="P158" s="290"/>
      <c r="Q158" s="290"/>
      <c r="R158" s="290"/>
      <c r="S158" s="291"/>
      <c r="T158" s="289"/>
      <c r="U158" s="290"/>
      <c r="V158" s="290"/>
      <c r="W158" s="290"/>
      <c r="X158" s="296"/>
      <c r="Y158" s="296"/>
    </row>
    <row r="159" spans="1:25" s="288" customFormat="1" x14ac:dyDescent="0.25">
      <c r="A159" s="304"/>
      <c r="D159" s="290"/>
      <c r="G159" s="289"/>
      <c r="I159" s="290"/>
      <c r="J159" s="299"/>
      <c r="K159" s="290"/>
      <c r="L159" s="291"/>
      <c r="M159" s="291"/>
      <c r="N159" s="291"/>
      <c r="O159" s="290"/>
      <c r="P159" s="290"/>
      <c r="Q159" s="290"/>
      <c r="R159" s="290"/>
      <c r="S159" s="291"/>
      <c r="T159" s="289"/>
      <c r="U159" s="290"/>
      <c r="V159" s="290"/>
      <c r="W159" s="290"/>
      <c r="X159" s="296"/>
      <c r="Y159" s="296"/>
    </row>
  </sheetData>
  <pageMargins left="0.75" right="0.75" top="1" bottom="1" header="0.5" footer="0.5"/>
  <pageSetup paperSize="9" orientation="portrait" horizontalDpi="4294967292" verticalDpi="4294967292"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selection activeCell="H19" sqref="H19"/>
    </sheetView>
  </sheetViews>
  <sheetFormatPr defaultRowHeight="14.4" x14ac:dyDescent="0.3"/>
  <cols>
    <col min="1" max="1" width="45.21875" bestFit="1" customWidth="1"/>
    <col min="3" max="8" width="9.109375" bestFit="1" customWidth="1"/>
  </cols>
  <sheetData>
    <row r="1" spans="1:8" x14ac:dyDescent="0.3">
      <c r="C1" s="577" t="s">
        <v>268</v>
      </c>
      <c r="D1" s="577"/>
      <c r="E1" s="577"/>
      <c r="F1" s="577"/>
      <c r="G1" s="577"/>
      <c r="H1" s="577"/>
    </row>
    <row r="2" spans="1:8" x14ac:dyDescent="0.3">
      <c r="C2" s="5" t="s">
        <v>269</v>
      </c>
      <c r="D2" s="5" t="s">
        <v>270</v>
      </c>
      <c r="E2" s="5" t="s">
        <v>271</v>
      </c>
      <c r="F2" s="5" t="s">
        <v>272</v>
      </c>
      <c r="G2" s="5" t="s">
        <v>273</v>
      </c>
      <c r="H2" s="5" t="s">
        <v>274</v>
      </c>
    </row>
    <row r="3" spans="1:8" x14ac:dyDescent="0.3">
      <c r="A3" s="574" t="s">
        <v>261</v>
      </c>
      <c r="B3" t="s">
        <v>262</v>
      </c>
      <c r="C3" s="82">
        <v>780</v>
      </c>
      <c r="D3" s="82">
        <v>764</v>
      </c>
      <c r="E3" s="82">
        <v>749</v>
      </c>
      <c r="F3" s="82">
        <v>728</v>
      </c>
      <c r="G3" s="82">
        <v>713</v>
      </c>
      <c r="H3" s="82">
        <v>713</v>
      </c>
    </row>
    <row r="4" spans="1:8" x14ac:dyDescent="0.3">
      <c r="A4" s="575"/>
      <c r="B4" t="s">
        <v>263</v>
      </c>
      <c r="C4" s="82">
        <v>2069</v>
      </c>
      <c r="D4" s="82">
        <v>2022</v>
      </c>
      <c r="E4" s="82">
        <v>1974</v>
      </c>
      <c r="F4" s="82">
        <v>1934</v>
      </c>
      <c r="G4" s="82">
        <v>1895</v>
      </c>
      <c r="H4" s="82">
        <v>1895</v>
      </c>
    </row>
    <row r="5" spans="1:8" x14ac:dyDescent="0.3">
      <c r="A5" s="575"/>
      <c r="B5" t="s">
        <v>264</v>
      </c>
      <c r="C5" s="82">
        <v>300</v>
      </c>
      <c r="D5" s="82">
        <v>300</v>
      </c>
      <c r="E5" s="82">
        <v>300</v>
      </c>
      <c r="F5" s="82">
        <v>300</v>
      </c>
      <c r="G5" s="82">
        <v>300</v>
      </c>
      <c r="H5" s="82">
        <v>300</v>
      </c>
    </row>
    <row r="6" spans="1:8" x14ac:dyDescent="0.3">
      <c r="A6" s="575"/>
      <c r="B6" t="s">
        <v>265</v>
      </c>
      <c r="C6" s="82">
        <v>1734</v>
      </c>
      <c r="D6" s="82">
        <v>1699</v>
      </c>
      <c r="E6" s="82">
        <v>1665</v>
      </c>
      <c r="F6" s="82">
        <v>1631</v>
      </c>
      <c r="G6" s="82">
        <v>1598</v>
      </c>
      <c r="H6" s="82">
        <v>1598</v>
      </c>
    </row>
    <row r="7" spans="1:8" x14ac:dyDescent="0.3">
      <c r="A7" s="575"/>
      <c r="B7" t="s">
        <v>266</v>
      </c>
      <c r="C7" s="82">
        <v>123</v>
      </c>
      <c r="D7" s="82">
        <v>120</v>
      </c>
      <c r="E7" s="82">
        <v>118</v>
      </c>
      <c r="F7" s="82">
        <v>115</v>
      </c>
      <c r="G7" s="82">
        <v>107</v>
      </c>
      <c r="H7" s="82">
        <v>107</v>
      </c>
    </row>
    <row r="8" spans="1:8" x14ac:dyDescent="0.3">
      <c r="A8" s="575"/>
      <c r="B8" t="s">
        <v>267</v>
      </c>
      <c r="C8" s="313">
        <f>SUM(C3:C7)</f>
        <v>5006</v>
      </c>
      <c r="D8" s="313">
        <f t="shared" ref="D8:H8" si="0">SUM(D3:D7)</f>
        <v>4905</v>
      </c>
      <c r="E8" s="313">
        <f t="shared" si="0"/>
        <v>4806</v>
      </c>
      <c r="F8" s="313">
        <f t="shared" si="0"/>
        <v>4708</v>
      </c>
      <c r="G8" s="313">
        <f t="shared" si="0"/>
        <v>4613</v>
      </c>
      <c r="H8" s="313">
        <f t="shared" si="0"/>
        <v>4613</v>
      </c>
    </row>
    <row r="9" spans="1:8" x14ac:dyDescent="0.3">
      <c r="A9" s="576"/>
      <c r="C9" s="82"/>
      <c r="D9" s="82"/>
      <c r="E9" s="82"/>
      <c r="F9" s="82"/>
      <c r="G9" s="82"/>
      <c r="H9" s="82"/>
    </row>
  </sheetData>
  <mergeCells count="2">
    <mergeCell ref="A3:A9"/>
    <mergeCell ref="C1:H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topLeftCell="I13" workbookViewId="0">
      <selection activeCell="P25" sqref="P25:P29"/>
    </sheetView>
  </sheetViews>
  <sheetFormatPr defaultRowHeight="14.4" x14ac:dyDescent="0.3"/>
  <cols>
    <col min="1" max="1" width="15.44140625" hidden="1" customWidth="1"/>
    <col min="2" max="2" width="12.21875" hidden="1" customWidth="1"/>
    <col min="3" max="3" width="14.44140625" hidden="1" customWidth="1"/>
    <col min="4" max="4" width="12.109375" hidden="1" customWidth="1"/>
    <col min="5" max="7" width="6.88671875" hidden="1" customWidth="1"/>
    <col min="8" max="8" width="0" hidden="1" customWidth="1"/>
    <col min="10" max="10" width="15.44140625" bestFit="1" customWidth="1"/>
    <col min="11" max="11" width="12.21875" bestFit="1" customWidth="1"/>
    <col min="12" max="12" width="14.44140625" customWidth="1"/>
    <col min="13" max="13" width="12.109375" customWidth="1"/>
    <col min="14" max="16" width="11.6640625" customWidth="1"/>
    <col min="17" max="17" width="15.5546875" customWidth="1"/>
  </cols>
  <sheetData>
    <row r="1" spans="1:18" x14ac:dyDescent="0.3">
      <c r="A1" s="5" t="s">
        <v>370</v>
      </c>
      <c r="J1" s="5" t="s">
        <v>372</v>
      </c>
    </row>
    <row r="2" spans="1:18" ht="15" thickBot="1" x14ac:dyDescent="0.35"/>
    <row r="3" spans="1:18" ht="15" thickBot="1" x14ac:dyDescent="0.35">
      <c r="A3" s="124"/>
      <c r="B3" s="124"/>
      <c r="C3" s="578" t="s">
        <v>117</v>
      </c>
      <c r="D3" s="579"/>
      <c r="E3" s="579"/>
      <c r="F3" s="579"/>
      <c r="G3" s="580"/>
      <c r="H3" s="125"/>
      <c r="J3" s="124"/>
      <c r="K3" s="124"/>
      <c r="L3" s="578" t="s">
        <v>117</v>
      </c>
      <c r="M3" s="579"/>
      <c r="N3" s="579"/>
      <c r="O3" s="579"/>
      <c r="P3" s="580"/>
    </row>
    <row r="4" spans="1:18" ht="33.6" customHeight="1" thickBot="1" x14ac:dyDescent="0.35">
      <c r="A4" s="126" t="s">
        <v>118</v>
      </c>
      <c r="B4" s="127" t="s">
        <v>119</v>
      </c>
      <c r="C4" s="135" t="s">
        <v>120</v>
      </c>
      <c r="D4" s="135" t="s">
        <v>121</v>
      </c>
      <c r="E4" s="127">
        <v>420</v>
      </c>
      <c r="F4" s="127">
        <v>430</v>
      </c>
      <c r="G4" s="127">
        <v>450</v>
      </c>
      <c r="H4" s="128" t="s">
        <v>122</v>
      </c>
      <c r="J4" s="126" t="s">
        <v>118</v>
      </c>
      <c r="K4" s="127" t="s">
        <v>119</v>
      </c>
      <c r="L4" s="135" t="s">
        <v>120</v>
      </c>
      <c r="M4" s="135" t="s">
        <v>121</v>
      </c>
      <c r="N4" s="127">
        <v>420</v>
      </c>
      <c r="O4" s="127">
        <v>430</v>
      </c>
      <c r="P4" s="127">
        <v>450</v>
      </c>
      <c r="Q4" s="405" t="s">
        <v>381</v>
      </c>
    </row>
    <row r="5" spans="1:18" ht="15" thickBot="1" x14ac:dyDescent="0.35">
      <c r="A5" s="129" t="s">
        <v>123</v>
      </c>
      <c r="B5" s="130" t="s">
        <v>124</v>
      </c>
      <c r="C5" s="136">
        <v>9175</v>
      </c>
      <c r="D5" s="136">
        <v>1425</v>
      </c>
      <c r="E5" s="136">
        <v>528</v>
      </c>
      <c r="F5" s="136">
        <v>1808</v>
      </c>
      <c r="G5" s="137">
        <v>74</v>
      </c>
      <c r="H5" s="138">
        <v>13010</v>
      </c>
      <c r="J5" s="129" t="s">
        <v>123</v>
      </c>
      <c r="K5" s="130" t="s">
        <v>124</v>
      </c>
      <c r="L5" s="136">
        <v>9175</v>
      </c>
      <c r="M5" s="136">
        <v>1425</v>
      </c>
      <c r="N5" s="136">
        <v>528</v>
      </c>
      <c r="O5" s="136">
        <v>1808</v>
      </c>
      <c r="P5" s="137">
        <v>74</v>
      </c>
      <c r="Q5" s="406"/>
    </row>
    <row r="6" spans="1:18" ht="15" thickBot="1" x14ac:dyDescent="0.35">
      <c r="A6" s="131"/>
      <c r="B6" s="130" t="s">
        <v>125</v>
      </c>
      <c r="C6" s="136"/>
      <c r="D6" s="136"/>
      <c r="E6" s="136"/>
      <c r="F6" s="136"/>
      <c r="G6" s="137"/>
      <c r="H6" s="138">
        <v>2403</v>
      </c>
      <c r="J6" s="131"/>
      <c r="K6" s="130" t="s">
        <v>125</v>
      </c>
      <c r="L6" s="136"/>
      <c r="M6" s="136"/>
      <c r="N6" s="136"/>
      <c r="O6" s="136"/>
      <c r="P6" s="137"/>
      <c r="Q6" s="406"/>
    </row>
    <row r="7" spans="1:18" ht="15" thickBot="1" x14ac:dyDescent="0.35">
      <c r="A7" s="129" t="s">
        <v>126</v>
      </c>
      <c r="B7" s="130" t="s">
        <v>124</v>
      </c>
      <c r="C7" s="136">
        <v>5853</v>
      </c>
      <c r="D7" s="136">
        <v>6569</v>
      </c>
      <c r="E7" s="136">
        <v>141</v>
      </c>
      <c r="F7" s="136">
        <v>1690</v>
      </c>
      <c r="G7" s="137">
        <v>57</v>
      </c>
      <c r="H7" s="138">
        <v>14310</v>
      </c>
      <c r="J7" s="129" t="s">
        <v>126</v>
      </c>
      <c r="K7" s="130" t="s">
        <v>124</v>
      </c>
      <c r="L7" s="136">
        <v>5853</v>
      </c>
      <c r="M7" s="136">
        <v>6569</v>
      </c>
      <c r="N7" s="136">
        <v>141</v>
      </c>
      <c r="O7" s="136">
        <v>1690</v>
      </c>
      <c r="P7" s="137">
        <v>57</v>
      </c>
      <c r="Q7" s="406"/>
    </row>
    <row r="8" spans="1:18" ht="15" thickBot="1" x14ac:dyDescent="0.35">
      <c r="A8" s="131"/>
      <c r="B8" s="130" t="s">
        <v>125</v>
      </c>
      <c r="C8" s="136"/>
      <c r="D8" s="136"/>
      <c r="E8" s="136"/>
      <c r="F8" s="136"/>
      <c r="G8" s="137"/>
      <c r="H8" s="138">
        <v>2378</v>
      </c>
      <c r="J8" s="131"/>
      <c r="K8" s="130" t="s">
        <v>125</v>
      </c>
      <c r="L8" s="136"/>
      <c r="M8" s="136"/>
      <c r="N8" s="136"/>
      <c r="O8" s="136"/>
      <c r="P8" s="137"/>
      <c r="Q8" s="406"/>
    </row>
    <row r="9" spans="1:18" ht="15" thickBot="1" x14ac:dyDescent="0.35">
      <c r="A9" s="132" t="s">
        <v>127</v>
      </c>
      <c r="B9" s="133" t="s">
        <v>124</v>
      </c>
      <c r="C9" s="139">
        <v>5911</v>
      </c>
      <c r="D9" s="139">
        <f>H9-C9-F9-G9-E9</f>
        <v>6920</v>
      </c>
      <c r="E9" s="139">
        <v>0</v>
      </c>
      <c r="F9" s="139">
        <v>1707</v>
      </c>
      <c r="G9" s="140">
        <v>57</v>
      </c>
      <c r="H9" s="141">
        <v>14595</v>
      </c>
      <c r="J9" s="132" t="s">
        <v>127</v>
      </c>
      <c r="K9" s="133" t="s">
        <v>124</v>
      </c>
      <c r="L9" s="139">
        <v>6763.9481771064029</v>
      </c>
      <c r="M9" s="139">
        <v>7918.5453198403502</v>
      </c>
      <c r="N9" s="139">
        <v>0</v>
      </c>
      <c r="O9" s="139">
        <v>1953.3174654577278</v>
      </c>
      <c r="P9" s="139">
        <v>65.225012027586686</v>
      </c>
      <c r="Q9" s="407">
        <f>SUM(L9:P9)</f>
        <v>16701.035974432067</v>
      </c>
      <c r="R9" s="87"/>
    </row>
    <row r="10" spans="1:18" ht="15" thickBot="1" x14ac:dyDescent="0.35">
      <c r="A10" s="134"/>
      <c r="B10" s="375"/>
      <c r="C10" s="376"/>
      <c r="D10" s="376"/>
      <c r="E10" s="376"/>
      <c r="F10" s="376"/>
      <c r="G10" s="377"/>
      <c r="H10" s="378"/>
      <c r="J10" s="134"/>
      <c r="K10" s="375"/>
      <c r="L10" s="376"/>
      <c r="M10" s="376"/>
      <c r="N10" s="376"/>
      <c r="O10" s="376"/>
      <c r="P10" s="377"/>
      <c r="Q10" s="406"/>
      <c r="R10" s="87"/>
    </row>
    <row r="11" spans="1:18" ht="15" thickBot="1" x14ac:dyDescent="0.35">
      <c r="A11" s="132" t="s">
        <v>128</v>
      </c>
      <c r="B11" s="133" t="s">
        <v>124</v>
      </c>
      <c r="C11" s="139">
        <v>5970</v>
      </c>
      <c r="D11" s="139">
        <f>H11-C11-F11-G11-E11</f>
        <v>6299</v>
      </c>
      <c r="E11" s="139">
        <v>0</v>
      </c>
      <c r="F11" s="139">
        <v>1724</v>
      </c>
      <c r="G11" s="140">
        <v>58</v>
      </c>
      <c r="H11" s="141">
        <v>14051</v>
      </c>
      <c r="J11" s="132" t="s">
        <v>128</v>
      </c>
      <c r="K11" s="133" t="s">
        <v>124</v>
      </c>
      <c r="L11" s="139">
        <v>7260.2887101820179</v>
      </c>
      <c r="M11" s="139">
        <v>7660.395072937441</v>
      </c>
      <c r="N11" s="139">
        <v>0</v>
      </c>
      <c r="O11" s="139">
        <v>2096.605985988911</v>
      </c>
      <c r="P11" s="139">
        <v>70.535468206123454</v>
      </c>
      <c r="Q11" s="407">
        <f>SUM(L11:P11)</f>
        <v>17087.825237314493</v>
      </c>
      <c r="R11" s="87"/>
    </row>
    <row r="12" spans="1:18" ht="15" thickBot="1" x14ac:dyDescent="0.35">
      <c r="A12" s="134"/>
      <c r="B12" s="375"/>
      <c r="C12" s="376"/>
      <c r="D12" s="376"/>
      <c r="E12" s="376"/>
      <c r="F12" s="376"/>
      <c r="G12" s="377"/>
      <c r="H12" s="378"/>
      <c r="J12" s="134"/>
      <c r="K12" s="375"/>
      <c r="L12" s="376"/>
      <c r="M12" s="376"/>
      <c r="N12" s="376"/>
      <c r="O12" s="376"/>
      <c r="P12" s="377"/>
      <c r="Q12" s="406"/>
      <c r="R12" s="87"/>
    </row>
    <row r="13" spans="1:18" ht="15" thickBot="1" x14ac:dyDescent="0.35">
      <c r="A13" s="132" t="s">
        <v>129</v>
      </c>
      <c r="B13" s="133" t="s">
        <v>124</v>
      </c>
      <c r="C13" s="139">
        <v>6030</v>
      </c>
      <c r="D13" s="139">
        <f>H13-C13-F13-G13-E13</f>
        <v>7484.5</v>
      </c>
      <c r="E13" s="139">
        <v>0</v>
      </c>
      <c r="F13" s="139">
        <v>1741</v>
      </c>
      <c r="G13" s="140">
        <v>58.5</v>
      </c>
      <c r="H13" s="141">
        <v>15314</v>
      </c>
      <c r="J13" s="132" t="s">
        <v>129</v>
      </c>
      <c r="K13" s="133" t="s">
        <v>124</v>
      </c>
      <c r="L13" s="139">
        <v>6625.4064102950097</v>
      </c>
      <c r="M13" s="139">
        <v>8223.5247558628525</v>
      </c>
      <c r="N13" s="139">
        <v>0</v>
      </c>
      <c r="O13" s="139">
        <v>1912.9075556092225</v>
      </c>
      <c r="P13" s="139">
        <v>64.276330846145612</v>
      </c>
      <c r="Q13" s="407">
        <f>SUM(L13:P13)</f>
        <v>16826.11505261323</v>
      </c>
      <c r="R13" s="87"/>
    </row>
    <row r="14" spans="1:18" ht="15" thickBot="1" x14ac:dyDescent="0.35">
      <c r="A14" s="134"/>
      <c r="B14" s="375"/>
      <c r="C14" s="376"/>
      <c r="D14" s="376"/>
      <c r="E14" s="376"/>
      <c r="F14" s="376"/>
      <c r="G14" s="377"/>
      <c r="H14" s="378"/>
      <c r="J14" s="134"/>
      <c r="K14" s="375"/>
      <c r="L14" s="376"/>
      <c r="M14" s="376"/>
      <c r="N14" s="376"/>
      <c r="O14" s="376"/>
      <c r="P14" s="377"/>
      <c r="Q14" s="406"/>
      <c r="R14" s="87"/>
    </row>
    <row r="15" spans="1:18" ht="15" thickBot="1" x14ac:dyDescent="0.35">
      <c r="A15" s="132" t="s">
        <v>130</v>
      </c>
      <c r="B15" s="133" t="s">
        <v>124</v>
      </c>
      <c r="C15" s="139">
        <v>6090</v>
      </c>
      <c r="D15" s="139">
        <f>H15-C15-F15-G15-E15</f>
        <v>7254.7</v>
      </c>
      <c r="E15" s="139">
        <v>0</v>
      </c>
      <c r="F15" s="139">
        <v>1758</v>
      </c>
      <c r="G15" s="140">
        <v>59.3</v>
      </c>
      <c r="H15" s="141">
        <v>15162</v>
      </c>
      <c r="J15" s="132" t="s">
        <v>130</v>
      </c>
      <c r="K15" s="133" t="s">
        <v>124</v>
      </c>
      <c r="L15" s="139">
        <v>6924.8103437313021</v>
      </c>
      <c r="M15" s="139">
        <v>8249.166108483987</v>
      </c>
      <c r="N15" s="139">
        <v>0</v>
      </c>
      <c r="O15" s="139">
        <v>1998.9846608012529</v>
      </c>
      <c r="P15" s="139">
        <v>67.428777238631554</v>
      </c>
      <c r="Q15" s="407">
        <f>SUM(L15:P15)</f>
        <v>17240.389890255174</v>
      </c>
      <c r="R15" s="87"/>
    </row>
    <row r="16" spans="1:18" ht="15" thickBot="1" x14ac:dyDescent="0.35">
      <c r="A16" s="134"/>
      <c r="B16" s="375"/>
      <c r="C16" s="376"/>
      <c r="D16" s="376"/>
      <c r="E16" s="376"/>
      <c r="F16" s="376"/>
      <c r="G16" s="377"/>
      <c r="H16" s="378"/>
      <c r="J16" s="134"/>
      <c r="K16" s="375"/>
      <c r="L16" s="376"/>
      <c r="M16" s="376"/>
      <c r="N16" s="376"/>
      <c r="O16" s="376"/>
      <c r="P16" s="377"/>
      <c r="Q16" s="406"/>
      <c r="R16" s="87"/>
    </row>
    <row r="17" spans="1:18" ht="15" thickBot="1" x14ac:dyDescent="0.35">
      <c r="A17" s="132" t="s">
        <v>131</v>
      </c>
      <c r="B17" s="133" t="s">
        <v>124</v>
      </c>
      <c r="C17" s="139">
        <v>6151</v>
      </c>
      <c r="D17" s="139">
        <f>H17-C17-F17-G17-E17</f>
        <v>6570</v>
      </c>
      <c r="E17" s="139">
        <v>0</v>
      </c>
      <c r="F17" s="139">
        <v>1776</v>
      </c>
      <c r="G17" s="140">
        <v>60</v>
      </c>
      <c r="H17" s="141">
        <v>14557</v>
      </c>
      <c r="J17" s="132" t="s">
        <v>131</v>
      </c>
      <c r="K17" s="133" t="s">
        <v>124</v>
      </c>
      <c r="L17" s="139">
        <v>6915.945667157609</v>
      </c>
      <c r="M17" s="139">
        <v>7387.0530049139152</v>
      </c>
      <c r="N17" s="139">
        <v>0</v>
      </c>
      <c r="O17" s="139">
        <v>1996.8654698214784</v>
      </c>
      <c r="P17" s="139">
        <v>67.461671277752643</v>
      </c>
      <c r="Q17" s="407">
        <f>SUM(L17:P17)</f>
        <v>16367.325813170755</v>
      </c>
      <c r="R17" s="87"/>
    </row>
    <row r="18" spans="1:18" ht="15" thickBot="1" x14ac:dyDescent="0.35">
      <c r="A18" s="134"/>
      <c r="B18" s="375"/>
      <c r="C18" s="376"/>
      <c r="D18" s="376"/>
      <c r="E18" s="376"/>
      <c r="F18" s="376"/>
      <c r="G18" s="377"/>
      <c r="H18" s="378"/>
      <c r="J18" s="134"/>
      <c r="K18" s="375"/>
      <c r="L18" s="376"/>
      <c r="M18" s="376"/>
      <c r="N18" s="376"/>
      <c r="O18" s="376"/>
      <c r="P18" s="377"/>
      <c r="Q18" s="406"/>
      <c r="R18" s="87"/>
    </row>
    <row r="19" spans="1:18" ht="15" thickBot="1" x14ac:dyDescent="0.35">
      <c r="A19" s="132" t="s">
        <v>132</v>
      </c>
      <c r="B19" s="133" t="s">
        <v>124</v>
      </c>
      <c r="C19" s="139">
        <v>6213</v>
      </c>
      <c r="D19" s="139">
        <f>H19-C19-F19-G19-E19</f>
        <v>6396</v>
      </c>
      <c r="E19" s="139">
        <v>0</v>
      </c>
      <c r="F19" s="139">
        <v>1794</v>
      </c>
      <c r="G19" s="140">
        <v>61</v>
      </c>
      <c r="H19" s="141">
        <v>14464</v>
      </c>
      <c r="J19" s="132" t="s">
        <v>132</v>
      </c>
      <c r="K19" s="133" t="s">
        <v>124</v>
      </c>
      <c r="L19" s="139">
        <v>6988.2639107370442</v>
      </c>
      <c r="M19" s="139">
        <v>7194.0988207104674</v>
      </c>
      <c r="N19" s="139">
        <v>0</v>
      </c>
      <c r="O19" s="139">
        <v>2017.8569862968384</v>
      </c>
      <c r="P19" s="139">
        <v>68.611636657807765</v>
      </c>
      <c r="Q19" s="407">
        <f>SUM(L19:P19)</f>
        <v>16268.831354402158</v>
      </c>
      <c r="R19" s="87"/>
    </row>
    <row r="20" spans="1:18" ht="15" thickBot="1" x14ac:dyDescent="0.35">
      <c r="A20" s="134"/>
      <c r="B20" s="375"/>
      <c r="C20" s="376"/>
      <c r="D20" s="376"/>
      <c r="E20" s="376"/>
      <c r="F20" s="376"/>
      <c r="G20" s="377"/>
      <c r="H20" s="378"/>
      <c r="J20" s="134"/>
      <c r="K20" s="375"/>
      <c r="L20" s="376"/>
      <c r="M20" s="376"/>
      <c r="N20" s="376"/>
      <c r="O20" s="376"/>
      <c r="P20" s="377"/>
      <c r="Q20" s="408"/>
    </row>
    <row r="23" spans="1:18" x14ac:dyDescent="0.3">
      <c r="K23" s="5">
        <v>2015</v>
      </c>
      <c r="L23" s="5">
        <v>2016</v>
      </c>
      <c r="M23" s="5">
        <v>2017</v>
      </c>
      <c r="N23" s="5">
        <v>2018</v>
      </c>
      <c r="O23" s="5">
        <v>2019</v>
      </c>
      <c r="P23" s="5">
        <v>2020</v>
      </c>
    </row>
    <row r="24" spans="1:18" x14ac:dyDescent="0.3">
      <c r="J24" s="5" t="s">
        <v>430</v>
      </c>
    </row>
    <row r="25" spans="1:18" x14ac:dyDescent="0.3">
      <c r="J25" t="s">
        <v>431</v>
      </c>
      <c r="K25" s="82">
        <v>406120.02995804203</v>
      </c>
      <c r="L25" s="82">
        <f>K25+$L11+$M11</f>
        <v>421040.71374116145</v>
      </c>
      <c r="M25" s="82">
        <f t="shared" ref="M25:P25" si="0">L25+$L11+$M11</f>
        <v>435961.39752428088</v>
      </c>
      <c r="N25" s="82">
        <f t="shared" si="0"/>
        <v>450882.08130740031</v>
      </c>
      <c r="O25" s="82">
        <f t="shared" si="0"/>
        <v>465802.76509051974</v>
      </c>
      <c r="P25" s="82">
        <f t="shared" si="0"/>
        <v>480723.44887363916</v>
      </c>
    </row>
    <row r="26" spans="1:18" x14ac:dyDescent="0.3">
      <c r="J26" t="s">
        <v>432</v>
      </c>
      <c r="K26" s="82">
        <v>157702.89891689076</v>
      </c>
      <c r="L26" s="82">
        <f>K26</f>
        <v>157702.89891689076</v>
      </c>
      <c r="M26" s="82">
        <f t="shared" ref="M26:P27" si="1">L26</f>
        <v>157702.89891689076</v>
      </c>
      <c r="N26" s="82">
        <f t="shared" si="1"/>
        <v>157702.89891689076</v>
      </c>
      <c r="O26" s="82">
        <f t="shared" si="1"/>
        <v>157702.89891689076</v>
      </c>
      <c r="P26" s="82">
        <f t="shared" si="1"/>
        <v>157702.89891689076</v>
      </c>
    </row>
    <row r="27" spans="1:18" x14ac:dyDescent="0.3">
      <c r="J27" t="s">
        <v>433</v>
      </c>
      <c r="K27" s="82">
        <v>85357.055867229894</v>
      </c>
      <c r="L27" s="82">
        <f>K27</f>
        <v>85357.055867229894</v>
      </c>
      <c r="M27" s="82">
        <f t="shared" si="1"/>
        <v>85357.055867229894</v>
      </c>
      <c r="N27" s="82">
        <f t="shared" si="1"/>
        <v>85357.055867229894</v>
      </c>
      <c r="O27" s="82">
        <f t="shared" si="1"/>
        <v>85357.055867229894</v>
      </c>
      <c r="P27" s="82">
        <f t="shared" si="1"/>
        <v>85357.055867229894</v>
      </c>
    </row>
    <row r="28" spans="1:18" x14ac:dyDescent="0.3">
      <c r="J28" t="s">
        <v>434</v>
      </c>
      <c r="K28" s="82">
        <v>42316.309334747828</v>
      </c>
      <c r="L28" s="82">
        <f>K28+$O11</f>
        <v>44412.915320736742</v>
      </c>
      <c r="M28" s="82">
        <f t="shared" ref="M28:P28" si="2">L28+$O11</f>
        <v>46509.521306725655</v>
      </c>
      <c r="N28" s="82">
        <f t="shared" si="2"/>
        <v>48606.127292714569</v>
      </c>
      <c r="O28" s="82">
        <f t="shared" si="2"/>
        <v>50702.733278703483</v>
      </c>
      <c r="P28" s="82">
        <f t="shared" si="2"/>
        <v>52799.339264692397</v>
      </c>
    </row>
    <row r="29" spans="1:18" x14ac:dyDescent="0.3">
      <c r="J29" t="s">
        <v>435</v>
      </c>
      <c r="K29" s="82">
        <v>3864.6927280900645</v>
      </c>
      <c r="L29" s="82">
        <f>K29+$P11</f>
        <v>3935.2281962961879</v>
      </c>
      <c r="M29" s="82">
        <f t="shared" ref="M29:P29" si="3">L29+$P11</f>
        <v>4005.7636645023113</v>
      </c>
      <c r="N29" s="82">
        <f t="shared" si="3"/>
        <v>4076.2991327084346</v>
      </c>
      <c r="O29" s="82">
        <f t="shared" si="3"/>
        <v>4146.834600914558</v>
      </c>
      <c r="P29" s="82">
        <f t="shared" si="3"/>
        <v>4217.3700691206814</v>
      </c>
    </row>
  </sheetData>
  <mergeCells count="2">
    <mergeCell ref="C3:G3"/>
    <mergeCell ref="L3:P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112"/>
  <sheetViews>
    <sheetView workbookViewId="0">
      <pane xSplit="1" ySplit="4" topLeftCell="T77" activePane="bottomRight" state="frozen"/>
      <selection pane="topRight" activeCell="B1" sqref="B1"/>
      <selection pane="bottomLeft" activeCell="A5" sqref="A5"/>
      <selection pane="bottomRight" activeCell="W97" sqref="W97"/>
    </sheetView>
  </sheetViews>
  <sheetFormatPr defaultRowHeight="14.4" x14ac:dyDescent="0.3"/>
  <cols>
    <col min="1" max="1" width="48.6640625" bestFit="1" customWidth="1"/>
    <col min="2" max="2" width="19.33203125" bestFit="1" customWidth="1"/>
    <col min="3" max="3" width="4" bestFit="1" customWidth="1"/>
    <col min="4" max="4" width="9" bestFit="1" customWidth="1"/>
    <col min="5" max="5" width="18.44140625" bestFit="1" customWidth="1"/>
    <col min="6" max="10" width="12.88671875" customWidth="1"/>
    <col min="11" max="11" width="12.5546875" customWidth="1"/>
    <col min="12" max="12" width="19.109375" style="73" hidden="1" customWidth="1"/>
    <col min="13" max="13" width="8.88671875" hidden="1" customWidth="1"/>
    <col min="14" max="14" width="11.109375" customWidth="1"/>
    <col min="15" max="19" width="12.109375" customWidth="1"/>
    <col min="20" max="20" width="8.88671875" customWidth="1"/>
    <col min="21" max="21" width="11.6640625" bestFit="1" customWidth="1"/>
    <col min="22" max="23" width="11.109375" bestFit="1" customWidth="1"/>
    <col min="24" max="25" width="12.109375" bestFit="1" customWidth="1"/>
    <col min="26" max="26" width="11.33203125" customWidth="1"/>
    <col min="27" max="27" width="25" style="73" customWidth="1"/>
  </cols>
  <sheetData>
    <row r="1" spans="1:27" ht="15.6" x14ac:dyDescent="0.3">
      <c r="A1" s="72" t="s">
        <v>322</v>
      </c>
      <c r="B1" s="72"/>
      <c r="C1" s="72"/>
    </row>
    <row r="2" spans="1:27" x14ac:dyDescent="0.3">
      <c r="A2" s="379" t="s">
        <v>323</v>
      </c>
      <c r="E2" s="5" t="s">
        <v>372</v>
      </c>
      <c r="N2" s="5" t="s">
        <v>370</v>
      </c>
      <c r="U2" s="5" t="s">
        <v>371</v>
      </c>
    </row>
    <row r="4" spans="1:27" x14ac:dyDescent="0.3">
      <c r="A4" s="74" t="s">
        <v>78</v>
      </c>
      <c r="B4" s="74" t="s">
        <v>82</v>
      </c>
      <c r="C4" s="74" t="s">
        <v>86</v>
      </c>
      <c r="D4" s="74" t="s">
        <v>84</v>
      </c>
      <c r="E4" s="75" t="s">
        <v>39</v>
      </c>
      <c r="F4" s="75" t="s">
        <v>40</v>
      </c>
      <c r="G4" s="75" t="s">
        <v>41</v>
      </c>
      <c r="H4" s="75" t="s">
        <v>42</v>
      </c>
      <c r="I4" s="75" t="s">
        <v>43</v>
      </c>
      <c r="J4" s="75" t="s">
        <v>44</v>
      </c>
      <c r="L4" s="76" t="s">
        <v>79</v>
      </c>
      <c r="N4" s="75" t="s">
        <v>39</v>
      </c>
      <c r="O4" s="75" t="s">
        <v>40</v>
      </c>
      <c r="P4" s="75" t="s">
        <v>41</v>
      </c>
      <c r="Q4" s="75" t="s">
        <v>42</v>
      </c>
      <c r="R4" s="75" t="s">
        <v>43</v>
      </c>
      <c r="S4" s="75" t="s">
        <v>44</v>
      </c>
      <c r="U4" s="75" t="s">
        <v>40</v>
      </c>
      <c r="V4" s="75" t="s">
        <v>41</v>
      </c>
      <c r="W4" s="75" t="s">
        <v>42</v>
      </c>
      <c r="X4" s="75" t="s">
        <v>43</v>
      </c>
      <c r="Y4" s="75" t="s">
        <v>44</v>
      </c>
      <c r="Z4" s="75" t="s">
        <v>37</v>
      </c>
    </row>
    <row r="5" spans="1:27" x14ac:dyDescent="0.3">
      <c r="A5" s="74"/>
      <c r="B5" s="473"/>
      <c r="C5" s="473"/>
      <c r="D5" s="473"/>
      <c r="E5" s="474"/>
      <c r="F5" s="474"/>
      <c r="G5" s="474"/>
      <c r="H5" s="474"/>
      <c r="I5" s="474"/>
      <c r="J5" s="474"/>
      <c r="K5" s="475"/>
      <c r="L5" s="476"/>
      <c r="M5" s="475"/>
      <c r="N5" s="474"/>
      <c r="O5" s="474"/>
      <c r="P5" s="474"/>
      <c r="Q5" s="474"/>
      <c r="R5" s="474"/>
      <c r="S5" s="474"/>
      <c r="T5" s="475"/>
      <c r="U5" s="475"/>
      <c r="V5" s="475"/>
      <c r="W5" s="475"/>
      <c r="X5" s="475"/>
      <c r="Y5" s="475"/>
      <c r="Z5" s="475"/>
    </row>
    <row r="6" spans="1:27" x14ac:dyDescent="0.3">
      <c r="A6" s="78" t="s">
        <v>83</v>
      </c>
      <c r="B6" s="477"/>
      <c r="C6" s="477"/>
      <c r="D6" s="478"/>
      <c r="E6" s="478"/>
      <c r="F6" s="478"/>
      <c r="G6" s="478"/>
      <c r="H6" s="478"/>
      <c r="I6" s="478"/>
      <c r="J6" s="478"/>
      <c r="K6" s="475"/>
      <c r="L6" s="479"/>
      <c r="M6" s="475"/>
      <c r="N6" s="478"/>
      <c r="O6" s="478"/>
      <c r="P6" s="478"/>
      <c r="Q6" s="478"/>
      <c r="R6" s="478"/>
      <c r="S6" s="478"/>
      <c r="T6" s="475"/>
      <c r="U6" s="480"/>
      <c r="V6" s="480"/>
      <c r="W6" s="480"/>
      <c r="X6" s="480"/>
      <c r="Y6" s="480"/>
      <c r="Z6" s="480"/>
    </row>
    <row r="7" spans="1:27" x14ac:dyDescent="0.3">
      <c r="A7" s="78" t="s">
        <v>4</v>
      </c>
      <c r="B7" s="477"/>
      <c r="C7" s="477"/>
      <c r="D7" s="481"/>
      <c r="E7" s="478"/>
      <c r="F7" s="478"/>
      <c r="G7" s="478"/>
      <c r="H7" s="478"/>
      <c r="I7" s="478"/>
      <c r="J7" s="478"/>
      <c r="K7" s="475"/>
      <c r="L7" s="479"/>
      <c r="M7" s="475"/>
      <c r="N7" s="478"/>
      <c r="O7" s="478"/>
      <c r="P7" s="478"/>
      <c r="Q7" s="478"/>
      <c r="R7" s="478"/>
      <c r="S7" s="478"/>
      <c r="T7" s="475"/>
      <c r="U7" s="480"/>
      <c r="V7" s="480"/>
      <c r="W7" s="480"/>
      <c r="X7" s="480"/>
      <c r="Y7" s="480"/>
      <c r="Z7" s="480"/>
    </row>
    <row r="8" spans="1:27" x14ac:dyDescent="0.3">
      <c r="A8" s="78" t="s">
        <v>5</v>
      </c>
      <c r="B8" s="477"/>
      <c r="C8" s="477"/>
      <c r="D8" s="478"/>
      <c r="E8" s="478"/>
      <c r="F8" s="478"/>
      <c r="G8" s="478"/>
      <c r="H8" s="478"/>
      <c r="I8" s="478"/>
      <c r="J8" s="478"/>
      <c r="K8" s="475"/>
      <c r="L8" s="479"/>
      <c r="M8" s="475"/>
      <c r="N8" s="478"/>
      <c r="O8" s="478"/>
      <c r="P8" s="478"/>
      <c r="Q8" s="478"/>
      <c r="R8" s="478"/>
      <c r="S8" s="478"/>
      <c r="T8" s="475"/>
      <c r="U8" s="480"/>
      <c r="V8" s="480"/>
      <c r="W8" s="480"/>
      <c r="X8" s="480"/>
      <c r="Y8" s="480"/>
      <c r="Z8" s="480"/>
    </row>
    <row r="9" spans="1:27" x14ac:dyDescent="0.3">
      <c r="A9" s="78" t="s">
        <v>6</v>
      </c>
      <c r="B9" s="477"/>
      <c r="C9" s="477"/>
      <c r="D9" s="481"/>
      <c r="E9" s="478"/>
      <c r="F9" s="478"/>
      <c r="G9" s="478"/>
      <c r="H9" s="478"/>
      <c r="I9" s="478"/>
      <c r="J9" s="478"/>
      <c r="K9" s="475"/>
      <c r="L9" s="479"/>
      <c r="M9" s="475"/>
      <c r="N9" s="478"/>
      <c r="O9" s="478"/>
      <c r="P9" s="478"/>
      <c r="Q9" s="478"/>
      <c r="R9" s="478"/>
      <c r="S9" s="478"/>
      <c r="T9" s="475"/>
      <c r="U9" s="480"/>
      <c r="V9" s="480"/>
      <c r="W9" s="480"/>
      <c r="X9" s="480"/>
      <c r="Y9" s="480"/>
      <c r="Z9" s="480"/>
    </row>
    <row r="10" spans="1:27" x14ac:dyDescent="0.3">
      <c r="A10" s="78" t="s">
        <v>7</v>
      </c>
      <c r="B10" s="477"/>
      <c r="C10" s="477"/>
      <c r="D10" s="481"/>
      <c r="E10" s="478"/>
      <c r="F10" s="482"/>
      <c r="G10" s="482"/>
      <c r="H10" s="482"/>
      <c r="I10" s="482"/>
      <c r="J10" s="482"/>
      <c r="K10" s="475"/>
      <c r="L10" s="479"/>
      <c r="M10" s="475"/>
      <c r="N10" s="478"/>
      <c r="O10" s="478"/>
      <c r="P10" s="478"/>
      <c r="Q10" s="478"/>
      <c r="R10" s="478"/>
      <c r="S10" s="478"/>
      <c r="T10" s="475"/>
      <c r="U10" s="480"/>
      <c r="V10" s="480"/>
      <c r="W10" s="480"/>
      <c r="X10" s="480"/>
      <c r="Y10" s="480"/>
      <c r="Z10" s="480"/>
    </row>
    <row r="11" spans="1:27" x14ac:dyDescent="0.3">
      <c r="A11" s="78" t="s">
        <v>85</v>
      </c>
      <c r="B11" s="475"/>
      <c r="C11" s="477"/>
      <c r="D11" s="481"/>
      <c r="E11" s="478"/>
      <c r="F11" s="478"/>
      <c r="G11" s="478"/>
      <c r="H11" s="478"/>
      <c r="I11" s="478"/>
      <c r="J11" s="478"/>
      <c r="K11" s="475"/>
      <c r="L11" s="479"/>
      <c r="M11" s="475"/>
      <c r="N11" s="478"/>
      <c r="O11" s="478"/>
      <c r="P11" s="478"/>
      <c r="Q11" s="478"/>
      <c r="R11" s="478"/>
      <c r="S11" s="478"/>
      <c r="T11" s="475"/>
      <c r="U11" s="480"/>
      <c r="V11" s="480"/>
      <c r="W11" s="480"/>
      <c r="X11" s="480"/>
      <c r="Y11" s="480"/>
      <c r="Z11" s="480"/>
    </row>
    <row r="12" spans="1:27" x14ac:dyDescent="0.3">
      <c r="A12" s="78" t="s">
        <v>23</v>
      </c>
      <c r="B12" s="477"/>
      <c r="C12" s="477"/>
      <c r="D12" s="481"/>
      <c r="E12" s="478"/>
      <c r="F12" s="478"/>
      <c r="G12" s="478"/>
      <c r="H12" s="478"/>
      <c r="I12" s="478"/>
      <c r="J12" s="478"/>
      <c r="K12" s="475"/>
      <c r="L12" s="479"/>
      <c r="M12" s="475"/>
      <c r="N12" s="478"/>
      <c r="O12" s="478"/>
      <c r="P12" s="478"/>
      <c r="Q12" s="478"/>
      <c r="R12" s="478"/>
      <c r="S12" s="478"/>
      <c r="T12" s="475"/>
      <c r="U12" s="480"/>
      <c r="V12" s="480"/>
      <c r="W12" s="480"/>
      <c r="X12" s="480"/>
      <c r="Y12" s="480"/>
      <c r="Z12" s="480"/>
    </row>
    <row r="13" spans="1:27" x14ac:dyDescent="0.3">
      <c r="A13" s="78" t="s">
        <v>24</v>
      </c>
      <c r="B13" s="477"/>
      <c r="C13" s="477"/>
      <c r="D13" s="481"/>
      <c r="E13" s="482"/>
      <c r="F13" s="482"/>
      <c r="G13" s="482"/>
      <c r="H13" s="482"/>
      <c r="I13" s="482"/>
      <c r="J13" s="482"/>
      <c r="K13" s="475"/>
      <c r="L13" s="479"/>
      <c r="M13" s="475"/>
      <c r="N13" s="478"/>
      <c r="O13" s="478"/>
      <c r="P13" s="478"/>
      <c r="Q13" s="478"/>
      <c r="R13" s="478"/>
      <c r="S13" s="478"/>
      <c r="T13" s="475"/>
      <c r="U13" s="480"/>
      <c r="V13" s="480"/>
      <c r="W13" s="480"/>
      <c r="X13" s="480"/>
      <c r="Y13" s="480"/>
      <c r="Z13" s="480"/>
    </row>
    <row r="14" spans="1:27" x14ac:dyDescent="0.3">
      <c r="A14" s="78" t="s">
        <v>25</v>
      </c>
      <c r="B14" s="475"/>
      <c r="C14" s="477"/>
      <c r="D14" s="481"/>
      <c r="E14" s="478"/>
      <c r="F14" s="478"/>
      <c r="G14" s="478"/>
      <c r="H14" s="478"/>
      <c r="I14" s="478"/>
      <c r="J14" s="478"/>
      <c r="K14" s="475"/>
      <c r="L14" s="479"/>
      <c r="M14" s="475"/>
      <c r="N14" s="478"/>
      <c r="O14" s="478"/>
      <c r="P14" s="478"/>
      <c r="Q14" s="478"/>
      <c r="R14" s="478"/>
      <c r="S14" s="478"/>
      <c r="T14" s="475"/>
      <c r="U14" s="480"/>
      <c r="V14" s="480"/>
      <c r="W14" s="480"/>
      <c r="X14" s="480"/>
      <c r="Y14" s="480"/>
      <c r="Z14" s="480"/>
    </row>
    <row r="15" spans="1:27" s="1" customFormat="1" x14ac:dyDescent="0.3">
      <c r="A15" s="78" t="s">
        <v>26</v>
      </c>
      <c r="B15" s="477"/>
      <c r="C15" s="477"/>
      <c r="D15" s="481"/>
      <c r="E15" s="478"/>
      <c r="F15" s="478"/>
      <c r="G15" s="478"/>
      <c r="H15" s="478"/>
      <c r="I15" s="478"/>
      <c r="J15" s="478"/>
      <c r="K15" s="475"/>
      <c r="L15" s="479"/>
      <c r="M15" s="475"/>
      <c r="N15" s="478"/>
      <c r="O15" s="478"/>
      <c r="P15" s="478"/>
      <c r="Q15" s="478"/>
      <c r="R15" s="478"/>
      <c r="S15" s="478"/>
      <c r="T15" s="475"/>
      <c r="U15" s="480"/>
      <c r="V15" s="480"/>
      <c r="W15" s="480"/>
      <c r="X15" s="480"/>
      <c r="Y15" s="480"/>
      <c r="Z15" s="480"/>
      <c r="AA15" s="80"/>
    </row>
    <row r="16" spans="1:27" s="1" customFormat="1" x14ac:dyDescent="0.3">
      <c r="A16" s="142" t="s">
        <v>29</v>
      </c>
      <c r="B16" s="475"/>
      <c r="C16" s="477"/>
      <c r="D16" s="481"/>
      <c r="E16" s="478"/>
      <c r="F16" s="478"/>
      <c r="G16" s="478"/>
      <c r="H16" s="478"/>
      <c r="I16" s="478"/>
      <c r="J16" s="478"/>
      <c r="K16" s="475"/>
      <c r="L16" s="479"/>
      <c r="M16" s="475"/>
      <c r="N16" s="483"/>
      <c r="O16" s="483"/>
      <c r="P16" s="483"/>
      <c r="Q16" s="483"/>
      <c r="R16" s="483"/>
      <c r="S16" s="483"/>
      <c r="T16" s="475"/>
      <c r="U16" s="480"/>
      <c r="V16" s="480"/>
      <c r="W16" s="480"/>
      <c r="X16" s="480"/>
      <c r="Y16" s="480"/>
      <c r="Z16" s="480"/>
      <c r="AA16" s="80"/>
    </row>
    <row r="17" spans="1:27" s="1" customFormat="1" x14ac:dyDescent="0.3">
      <c r="A17" s="142" t="s">
        <v>30</v>
      </c>
      <c r="B17" s="477"/>
      <c r="C17" s="477"/>
      <c r="D17" s="481"/>
      <c r="E17" s="478"/>
      <c r="F17" s="478"/>
      <c r="G17" s="478"/>
      <c r="H17" s="478"/>
      <c r="I17" s="478"/>
      <c r="J17" s="478"/>
      <c r="K17" s="475"/>
      <c r="L17" s="477"/>
      <c r="M17" s="475"/>
      <c r="N17" s="483"/>
      <c r="O17" s="483"/>
      <c r="P17" s="483"/>
      <c r="Q17" s="483"/>
      <c r="R17" s="483"/>
      <c r="S17" s="483"/>
      <c r="T17" s="475"/>
      <c r="U17" s="480"/>
      <c r="V17" s="480"/>
      <c r="W17" s="480"/>
      <c r="X17" s="480"/>
      <c r="Y17" s="480"/>
      <c r="Z17" s="480"/>
      <c r="AA17" s="80"/>
    </row>
    <row r="18" spans="1:27" x14ac:dyDescent="0.3">
      <c r="A18" s="78" t="s">
        <v>31</v>
      </c>
      <c r="B18" s="477"/>
      <c r="C18" s="477"/>
      <c r="D18" s="481"/>
      <c r="E18" s="478"/>
      <c r="F18" s="478"/>
      <c r="G18" s="478"/>
      <c r="H18" s="478"/>
      <c r="I18" s="478"/>
      <c r="J18" s="478"/>
      <c r="K18" s="475"/>
      <c r="L18" s="479"/>
      <c r="M18" s="475"/>
      <c r="N18" s="478"/>
      <c r="O18" s="478"/>
      <c r="P18" s="478"/>
      <c r="Q18" s="478"/>
      <c r="R18" s="478"/>
      <c r="S18" s="478"/>
      <c r="T18" s="475"/>
      <c r="U18" s="480"/>
      <c r="V18" s="480"/>
      <c r="W18" s="480"/>
      <c r="X18" s="480"/>
      <c r="Y18" s="480"/>
      <c r="Z18" s="480"/>
    </row>
    <row r="19" spans="1:27" x14ac:dyDescent="0.3">
      <c r="A19" s="78" t="s">
        <v>34</v>
      </c>
      <c r="B19" s="477"/>
      <c r="C19" s="477"/>
      <c r="D19" s="481"/>
      <c r="E19" s="478"/>
      <c r="F19" s="478"/>
      <c r="G19" s="478"/>
      <c r="H19" s="478"/>
      <c r="I19" s="478"/>
      <c r="J19" s="478"/>
      <c r="K19" s="475"/>
      <c r="L19" s="479"/>
      <c r="M19" s="475"/>
      <c r="N19" s="478"/>
      <c r="O19" s="478"/>
      <c r="P19" s="478"/>
      <c r="Q19" s="478"/>
      <c r="R19" s="478"/>
      <c r="S19" s="478"/>
      <c r="T19" s="475"/>
      <c r="U19" s="480"/>
      <c r="V19" s="480"/>
      <c r="W19" s="480"/>
      <c r="X19" s="480"/>
      <c r="Y19" s="480"/>
      <c r="Z19" s="480"/>
    </row>
    <row r="20" spans="1:27" x14ac:dyDescent="0.3">
      <c r="A20" s="78" t="s">
        <v>35</v>
      </c>
      <c r="B20" s="477"/>
      <c r="C20" s="477"/>
      <c r="D20" s="481"/>
      <c r="E20" s="478"/>
      <c r="F20" s="478"/>
      <c r="G20" s="478"/>
      <c r="H20" s="482"/>
      <c r="I20" s="482"/>
      <c r="J20" s="482"/>
      <c r="K20" s="475"/>
      <c r="L20" s="479"/>
      <c r="M20" s="475"/>
      <c r="N20" s="478"/>
      <c r="O20" s="478"/>
      <c r="P20" s="478"/>
      <c r="Q20" s="478"/>
      <c r="R20" s="478"/>
      <c r="S20" s="478"/>
      <c r="T20" s="475"/>
      <c r="U20" s="480"/>
      <c r="V20" s="480"/>
      <c r="W20" s="480"/>
      <c r="X20" s="480"/>
      <c r="Y20" s="480"/>
      <c r="Z20" s="480"/>
    </row>
    <row r="21" spans="1:27" ht="15" thickBot="1" x14ac:dyDescent="0.35">
      <c r="A21" s="78"/>
      <c r="B21" s="78"/>
      <c r="C21" s="78"/>
      <c r="D21" s="78"/>
      <c r="E21" s="81">
        <v>7366789</v>
      </c>
      <c r="F21" s="81">
        <v>7838086.1999999993</v>
      </c>
      <c r="G21" s="81">
        <v>7967062.3999999994</v>
      </c>
      <c r="H21" s="81">
        <v>7772462.3999999994</v>
      </c>
      <c r="I21" s="81">
        <v>7177424.3999999994</v>
      </c>
      <c r="J21" s="81">
        <v>6998626.3999999994</v>
      </c>
      <c r="N21" s="81">
        <v>7366789</v>
      </c>
      <c r="O21" s="81">
        <v>7221070</v>
      </c>
      <c r="P21" s="81">
        <v>6949145</v>
      </c>
      <c r="Q21" s="81">
        <v>6684700.3999999994</v>
      </c>
      <c r="R21" s="81">
        <v>4367894</v>
      </c>
      <c r="S21" s="81">
        <v>3529225.5999999996</v>
      </c>
      <c r="U21" s="81">
        <v>617016.19999999972</v>
      </c>
      <c r="V21" s="81">
        <v>1017917.3999999997</v>
      </c>
      <c r="W21" s="81">
        <v>1087761.9999999998</v>
      </c>
      <c r="X21" s="81">
        <v>2809530.3999999994</v>
      </c>
      <c r="Y21" s="81">
        <v>3469400.8</v>
      </c>
    </row>
    <row r="22" spans="1:27" ht="15" thickTop="1" x14ac:dyDescent="0.3">
      <c r="A22" s="1"/>
      <c r="B22" s="1"/>
      <c r="C22" s="1"/>
      <c r="D22" s="1"/>
      <c r="E22" s="438"/>
      <c r="F22" s="438"/>
      <c r="G22" s="438"/>
      <c r="H22" s="438"/>
      <c r="I22" s="438"/>
      <c r="J22" s="438"/>
      <c r="N22" s="399"/>
      <c r="O22" s="399"/>
      <c r="P22" s="399"/>
      <c r="Q22" s="399"/>
      <c r="R22" s="399"/>
      <c r="S22" s="399"/>
      <c r="U22" s="438"/>
      <c r="V22" s="438"/>
      <c r="W22" s="438"/>
      <c r="X22" s="438"/>
      <c r="Y22" s="438"/>
      <c r="Z22" s="438"/>
    </row>
    <row r="23" spans="1:27" x14ac:dyDescent="0.3">
      <c r="A23" s="1"/>
      <c r="B23" s="1"/>
      <c r="C23" s="1"/>
      <c r="D23" s="1"/>
      <c r="E23" s="1"/>
      <c r="F23" s="1"/>
      <c r="G23" s="1"/>
      <c r="H23" s="1"/>
      <c r="I23" s="1"/>
      <c r="J23" s="1"/>
      <c r="N23" s="78"/>
      <c r="O23" s="78"/>
      <c r="P23" s="78"/>
      <c r="Q23" s="78"/>
      <c r="R23" s="78"/>
      <c r="S23" s="78"/>
    </row>
    <row r="24" spans="1:27" x14ac:dyDescent="0.3">
      <c r="A24" s="89" t="s">
        <v>80</v>
      </c>
      <c r="B24" s="74" t="s">
        <v>82</v>
      </c>
      <c r="C24" s="74" t="s">
        <v>86</v>
      </c>
      <c r="D24" s="74" t="s">
        <v>84</v>
      </c>
      <c r="E24" s="75" t="s">
        <v>39</v>
      </c>
      <c r="F24" s="75" t="s">
        <v>40</v>
      </c>
      <c r="G24" s="75" t="s">
        <v>41</v>
      </c>
      <c r="H24" s="75" t="s">
        <v>42</v>
      </c>
      <c r="I24" s="75" t="s">
        <v>43</v>
      </c>
      <c r="J24" s="75" t="s">
        <v>44</v>
      </c>
      <c r="N24" s="75" t="s">
        <v>39</v>
      </c>
      <c r="O24" s="75" t="s">
        <v>40</v>
      </c>
      <c r="P24" s="75" t="s">
        <v>41</v>
      </c>
      <c r="Q24" s="75" t="s">
        <v>42</v>
      </c>
      <c r="R24" s="75" t="s">
        <v>43</v>
      </c>
      <c r="S24" s="75" t="s">
        <v>44</v>
      </c>
      <c r="U24" s="75" t="s">
        <v>40</v>
      </c>
      <c r="V24" s="75" t="s">
        <v>41</v>
      </c>
      <c r="W24" s="75" t="s">
        <v>42</v>
      </c>
      <c r="X24" s="75" t="s">
        <v>43</v>
      </c>
      <c r="Y24" s="75" t="s">
        <v>44</v>
      </c>
    </row>
    <row r="25" spans="1:27" x14ac:dyDescent="0.3">
      <c r="A25" s="1"/>
      <c r="B25" s="1"/>
      <c r="C25" s="1"/>
      <c r="D25" s="1"/>
      <c r="E25" s="90"/>
      <c r="F25" s="90"/>
      <c r="G25" s="90"/>
      <c r="H25" s="90"/>
      <c r="I25" s="90"/>
      <c r="J25" s="90"/>
      <c r="N25" s="349"/>
      <c r="O25" s="349"/>
      <c r="P25" s="349"/>
      <c r="Q25" s="349"/>
      <c r="R25" s="349"/>
      <c r="S25" s="349"/>
    </row>
    <row r="26" spans="1:27" x14ac:dyDescent="0.3">
      <c r="A26" s="1" t="s">
        <v>0</v>
      </c>
      <c r="B26" s="475"/>
      <c r="C26" s="475"/>
      <c r="D26" s="475"/>
      <c r="E26" s="484"/>
      <c r="F26" s="484"/>
      <c r="G26" s="484"/>
      <c r="H26" s="484"/>
      <c r="I26" s="484"/>
      <c r="J26" s="484"/>
      <c r="K26" s="485"/>
      <c r="L26" s="479"/>
      <c r="M26" s="475"/>
      <c r="N26" s="486"/>
      <c r="O26" s="486"/>
      <c r="P26" s="486"/>
      <c r="Q26" s="486"/>
      <c r="R26" s="486"/>
      <c r="S26" s="486"/>
      <c r="T26" s="475"/>
      <c r="U26" s="480"/>
      <c r="V26" s="480"/>
      <c r="W26" s="480"/>
      <c r="X26" s="480"/>
      <c r="Y26" s="480"/>
      <c r="Z26" s="480"/>
      <c r="AA26" s="73" t="s">
        <v>379</v>
      </c>
    </row>
    <row r="27" spans="1:27" x14ac:dyDescent="0.3">
      <c r="A27" s="1" t="s">
        <v>1</v>
      </c>
      <c r="B27" s="475"/>
      <c r="C27" s="475"/>
      <c r="D27" s="475"/>
      <c r="E27" s="484"/>
      <c r="F27" s="484"/>
      <c r="G27" s="484"/>
      <c r="H27" s="484"/>
      <c r="I27" s="484"/>
      <c r="J27" s="484"/>
      <c r="K27" s="485"/>
      <c r="L27" s="479"/>
      <c r="M27" s="475"/>
      <c r="N27" s="486"/>
      <c r="O27" s="486"/>
      <c r="P27" s="486"/>
      <c r="Q27" s="486"/>
      <c r="R27" s="486"/>
      <c r="S27" s="486"/>
      <c r="T27" s="475"/>
      <c r="U27" s="480"/>
      <c r="V27" s="480"/>
      <c r="W27" s="480"/>
      <c r="X27" s="480"/>
      <c r="Y27" s="480"/>
      <c r="Z27" s="480"/>
      <c r="AA27" s="73" t="s">
        <v>379</v>
      </c>
    </row>
    <row r="28" spans="1:27" x14ac:dyDescent="0.3">
      <c r="A28" s="1" t="s">
        <v>2</v>
      </c>
      <c r="B28" s="475"/>
      <c r="C28" s="475"/>
      <c r="D28" s="475"/>
      <c r="E28" s="484"/>
      <c r="F28" s="484"/>
      <c r="G28" s="484"/>
      <c r="H28" s="484"/>
      <c r="I28" s="484"/>
      <c r="J28" s="484"/>
      <c r="K28" s="485"/>
      <c r="L28" s="479"/>
      <c r="M28" s="475"/>
      <c r="N28" s="486"/>
      <c r="O28" s="486"/>
      <c r="P28" s="486"/>
      <c r="Q28" s="486"/>
      <c r="R28" s="486"/>
      <c r="S28" s="486"/>
      <c r="T28" s="475"/>
      <c r="U28" s="480"/>
      <c r="V28" s="480"/>
      <c r="W28" s="480"/>
      <c r="X28" s="480"/>
      <c r="Y28" s="480"/>
      <c r="Z28" s="480"/>
    </row>
    <row r="29" spans="1:27" x14ac:dyDescent="0.3">
      <c r="A29" s="1" t="s">
        <v>3</v>
      </c>
      <c r="B29" s="475"/>
      <c r="C29" s="475"/>
      <c r="D29" s="475"/>
      <c r="E29" s="484"/>
      <c r="F29" s="484"/>
      <c r="G29" s="484"/>
      <c r="H29" s="484"/>
      <c r="I29" s="484"/>
      <c r="J29" s="484"/>
      <c r="K29" s="485"/>
      <c r="L29" s="479"/>
      <c r="M29" s="475"/>
      <c r="N29" s="486"/>
      <c r="O29" s="486"/>
      <c r="P29" s="486"/>
      <c r="Q29" s="486"/>
      <c r="R29" s="486"/>
      <c r="S29" s="486"/>
      <c r="T29" s="475"/>
      <c r="U29" s="480"/>
      <c r="V29" s="480"/>
      <c r="W29" s="480"/>
      <c r="X29" s="480"/>
      <c r="Y29" s="480"/>
      <c r="Z29" s="480"/>
    </row>
    <row r="30" spans="1:27" x14ac:dyDescent="0.3">
      <c r="A30" s="34" t="s">
        <v>227</v>
      </c>
      <c r="B30" s="475"/>
      <c r="C30" s="475"/>
      <c r="D30" s="485"/>
      <c r="E30" s="484"/>
      <c r="F30" s="484"/>
      <c r="G30" s="484"/>
      <c r="H30" s="484"/>
      <c r="I30" s="484"/>
      <c r="J30" s="484"/>
      <c r="K30" s="485"/>
      <c r="L30" s="479"/>
      <c r="M30" s="475"/>
      <c r="N30" s="487"/>
      <c r="O30" s="487"/>
      <c r="P30" s="487"/>
      <c r="Q30" s="487"/>
      <c r="R30" s="487"/>
      <c r="S30" s="487"/>
      <c r="T30" s="475"/>
      <c r="U30" s="480"/>
      <c r="V30" s="480"/>
      <c r="W30" s="480"/>
      <c r="X30" s="480"/>
      <c r="Y30" s="480"/>
      <c r="Z30" s="480"/>
    </row>
    <row r="31" spans="1:27" x14ac:dyDescent="0.3">
      <c r="A31" s="34" t="s">
        <v>228</v>
      </c>
      <c r="B31" s="475"/>
      <c r="C31" s="475"/>
      <c r="D31" s="485"/>
      <c r="E31" s="484"/>
      <c r="F31" s="484"/>
      <c r="G31" s="484"/>
      <c r="H31" s="484"/>
      <c r="I31" s="484"/>
      <c r="J31" s="484"/>
      <c r="K31" s="485"/>
      <c r="L31" s="479"/>
      <c r="M31" s="475"/>
      <c r="N31" s="487"/>
      <c r="O31" s="487"/>
      <c r="P31" s="487"/>
      <c r="Q31" s="487"/>
      <c r="R31" s="487"/>
      <c r="S31" s="487"/>
      <c r="T31" s="475"/>
      <c r="U31" s="480"/>
      <c r="V31" s="480"/>
      <c r="W31" s="480"/>
      <c r="X31" s="480"/>
      <c r="Y31" s="480"/>
      <c r="Z31" s="480"/>
    </row>
    <row r="32" spans="1:27" x14ac:dyDescent="0.3">
      <c r="A32" s="34" t="s">
        <v>8</v>
      </c>
      <c r="B32" s="475"/>
      <c r="C32" s="475"/>
      <c r="D32" s="475"/>
      <c r="E32" s="484"/>
      <c r="F32" s="484"/>
      <c r="G32" s="484"/>
      <c r="H32" s="484"/>
      <c r="I32" s="484"/>
      <c r="J32" s="484"/>
      <c r="K32" s="485"/>
      <c r="L32" s="479"/>
      <c r="M32" s="475"/>
      <c r="N32" s="487"/>
      <c r="O32" s="487"/>
      <c r="P32" s="487"/>
      <c r="Q32" s="487"/>
      <c r="R32" s="487"/>
      <c r="S32" s="487"/>
      <c r="T32" s="475"/>
      <c r="U32" s="480"/>
      <c r="V32" s="480"/>
      <c r="W32" s="480"/>
      <c r="X32" s="480"/>
      <c r="Y32" s="480"/>
      <c r="Z32" s="480"/>
    </row>
    <row r="33" spans="1:26" x14ac:dyDescent="0.3">
      <c r="A33" s="1" t="s">
        <v>9</v>
      </c>
      <c r="B33" s="475"/>
      <c r="C33" s="475"/>
      <c r="D33" s="475"/>
      <c r="E33" s="484"/>
      <c r="F33" s="484"/>
      <c r="G33" s="484"/>
      <c r="H33" s="484"/>
      <c r="I33" s="484"/>
      <c r="J33" s="484"/>
      <c r="K33" s="485"/>
      <c r="L33" s="479"/>
      <c r="M33" s="475"/>
      <c r="N33" s="486"/>
      <c r="O33" s="486"/>
      <c r="P33" s="486"/>
      <c r="Q33" s="486"/>
      <c r="R33" s="486"/>
      <c r="S33" s="486"/>
      <c r="T33" s="475"/>
      <c r="U33" s="480"/>
      <c r="V33" s="480"/>
      <c r="W33" s="480"/>
      <c r="X33" s="480"/>
      <c r="Y33" s="480"/>
      <c r="Z33" s="480"/>
    </row>
    <row r="34" spans="1:26" x14ac:dyDescent="0.3">
      <c r="A34" s="1" t="s">
        <v>10</v>
      </c>
      <c r="B34" s="475"/>
      <c r="C34" s="475"/>
      <c r="D34" s="475"/>
      <c r="E34" s="484"/>
      <c r="F34" s="484"/>
      <c r="G34" s="484"/>
      <c r="H34" s="484"/>
      <c r="I34" s="484"/>
      <c r="J34" s="484"/>
      <c r="K34" s="485"/>
      <c r="L34" s="479"/>
      <c r="M34" s="475"/>
      <c r="N34" s="486"/>
      <c r="O34" s="486"/>
      <c r="P34" s="486"/>
      <c r="Q34" s="486"/>
      <c r="R34" s="486"/>
      <c r="S34" s="486"/>
      <c r="T34" s="475"/>
      <c r="U34" s="480"/>
      <c r="V34" s="480"/>
      <c r="W34" s="480"/>
      <c r="X34" s="480"/>
      <c r="Y34" s="480"/>
      <c r="Z34" s="480"/>
    </row>
    <row r="35" spans="1:26" x14ac:dyDescent="0.3">
      <c r="A35" s="1" t="s">
        <v>11</v>
      </c>
      <c r="B35" s="475"/>
      <c r="C35" s="475"/>
      <c r="D35" s="475"/>
      <c r="E35" s="484"/>
      <c r="F35" s="484"/>
      <c r="G35" s="484"/>
      <c r="H35" s="484"/>
      <c r="I35" s="484"/>
      <c r="J35" s="484"/>
      <c r="K35" s="485"/>
      <c r="L35" s="479"/>
      <c r="M35" s="475"/>
      <c r="N35" s="486"/>
      <c r="O35" s="486"/>
      <c r="P35" s="486"/>
      <c r="Q35" s="486"/>
      <c r="R35" s="486"/>
      <c r="S35" s="486"/>
      <c r="T35" s="475"/>
      <c r="U35" s="480"/>
      <c r="V35" s="480"/>
      <c r="W35" s="480"/>
      <c r="X35" s="480"/>
      <c r="Y35" s="480"/>
      <c r="Z35" s="480"/>
    </row>
    <row r="36" spans="1:26" x14ac:dyDescent="0.3">
      <c r="A36" s="1" t="s">
        <v>12</v>
      </c>
      <c r="B36" s="475"/>
      <c r="C36" s="475"/>
      <c r="D36" s="475"/>
      <c r="E36" s="484"/>
      <c r="F36" s="484"/>
      <c r="G36" s="484"/>
      <c r="H36" s="484"/>
      <c r="I36" s="484"/>
      <c r="J36" s="484"/>
      <c r="K36" s="485"/>
      <c r="L36" s="479"/>
      <c r="M36" s="475"/>
      <c r="N36" s="486"/>
      <c r="O36" s="486"/>
      <c r="P36" s="486"/>
      <c r="Q36" s="486"/>
      <c r="R36" s="486"/>
      <c r="S36" s="486"/>
      <c r="T36" s="475"/>
      <c r="U36" s="480"/>
      <c r="V36" s="480"/>
      <c r="W36" s="480"/>
      <c r="X36" s="480"/>
      <c r="Y36" s="480"/>
      <c r="Z36" s="480"/>
    </row>
    <row r="37" spans="1:26" x14ac:dyDescent="0.3">
      <c r="A37" s="1" t="s">
        <v>13</v>
      </c>
      <c r="B37" s="475"/>
      <c r="C37" s="475"/>
      <c r="D37" s="475"/>
      <c r="E37" s="484"/>
      <c r="F37" s="484"/>
      <c r="G37" s="484"/>
      <c r="H37" s="484"/>
      <c r="I37" s="484"/>
      <c r="J37" s="484"/>
      <c r="K37" s="485"/>
      <c r="L37" s="479"/>
      <c r="M37" s="475"/>
      <c r="N37" s="486"/>
      <c r="O37" s="486"/>
      <c r="P37" s="486"/>
      <c r="Q37" s="486"/>
      <c r="R37" s="486"/>
      <c r="S37" s="486"/>
      <c r="T37" s="475"/>
      <c r="U37" s="480"/>
      <c r="V37" s="480"/>
      <c r="W37" s="480"/>
      <c r="X37" s="480"/>
      <c r="Y37" s="480"/>
      <c r="Z37" s="480"/>
    </row>
    <row r="38" spans="1:26" x14ac:dyDescent="0.3">
      <c r="A38" s="1" t="s">
        <v>14</v>
      </c>
      <c r="B38" s="475"/>
      <c r="C38" s="475"/>
      <c r="D38" s="475"/>
      <c r="E38" s="484"/>
      <c r="F38" s="484"/>
      <c r="G38" s="484"/>
      <c r="H38" s="484"/>
      <c r="I38" s="484"/>
      <c r="J38" s="484"/>
      <c r="K38" s="485"/>
      <c r="L38" s="479"/>
      <c r="M38" s="475"/>
      <c r="N38" s="486"/>
      <c r="O38" s="486"/>
      <c r="P38" s="486"/>
      <c r="Q38" s="486"/>
      <c r="R38" s="486"/>
      <c r="S38" s="486"/>
      <c r="T38" s="475"/>
      <c r="U38" s="480"/>
      <c r="V38" s="480"/>
      <c r="W38" s="480"/>
      <c r="X38" s="480"/>
      <c r="Y38" s="480"/>
      <c r="Z38" s="480"/>
    </row>
    <row r="39" spans="1:26" x14ac:dyDescent="0.3">
      <c r="A39" s="1" t="s">
        <v>15</v>
      </c>
      <c r="B39" s="475"/>
      <c r="C39" s="475"/>
      <c r="D39" s="475"/>
      <c r="E39" s="484"/>
      <c r="F39" s="484"/>
      <c r="G39" s="484"/>
      <c r="H39" s="484"/>
      <c r="I39" s="484"/>
      <c r="J39" s="484"/>
      <c r="K39" s="485"/>
      <c r="L39" s="479"/>
      <c r="M39" s="475"/>
      <c r="N39" s="486"/>
      <c r="O39" s="486"/>
      <c r="P39" s="486"/>
      <c r="Q39" s="486"/>
      <c r="R39" s="486"/>
      <c r="S39" s="486"/>
      <c r="T39" s="475"/>
      <c r="U39" s="480"/>
      <c r="V39" s="480"/>
      <c r="W39" s="480"/>
      <c r="X39" s="480"/>
      <c r="Y39" s="480"/>
      <c r="Z39" s="480"/>
    </row>
    <row r="40" spans="1:26" x14ac:dyDescent="0.3">
      <c r="A40" s="1" t="s">
        <v>16</v>
      </c>
      <c r="B40" s="475"/>
      <c r="C40" s="475"/>
      <c r="D40" s="475"/>
      <c r="E40" s="484"/>
      <c r="F40" s="484"/>
      <c r="G40" s="484"/>
      <c r="H40" s="484"/>
      <c r="I40" s="484"/>
      <c r="J40" s="484"/>
      <c r="K40" s="485"/>
      <c r="L40" s="479"/>
      <c r="M40" s="475"/>
      <c r="N40" s="486"/>
      <c r="O40" s="486"/>
      <c r="P40" s="486"/>
      <c r="Q40" s="486"/>
      <c r="R40" s="486"/>
      <c r="S40" s="486"/>
      <c r="T40" s="475"/>
      <c r="U40" s="480"/>
      <c r="V40" s="480"/>
      <c r="W40" s="480"/>
      <c r="X40" s="480"/>
      <c r="Y40" s="480"/>
      <c r="Z40" s="480"/>
    </row>
    <row r="41" spans="1:26" x14ac:dyDescent="0.3">
      <c r="A41" s="1"/>
      <c r="B41" s="475"/>
      <c r="C41" s="475"/>
      <c r="D41" s="475"/>
      <c r="E41" s="484"/>
      <c r="F41" s="484"/>
      <c r="G41" s="484"/>
      <c r="H41" s="484"/>
      <c r="I41" s="484"/>
      <c r="J41" s="484"/>
      <c r="K41" s="485"/>
      <c r="L41" s="479"/>
      <c r="M41" s="475"/>
      <c r="N41" s="486"/>
      <c r="O41" s="486"/>
      <c r="P41" s="486"/>
      <c r="Q41" s="486"/>
      <c r="R41" s="486"/>
      <c r="S41" s="486"/>
      <c r="T41" s="475"/>
      <c r="U41" s="480"/>
      <c r="V41" s="480"/>
      <c r="W41" s="480"/>
      <c r="X41" s="480"/>
      <c r="Y41" s="480"/>
      <c r="Z41" s="480"/>
    </row>
    <row r="42" spans="1:26" x14ac:dyDescent="0.3">
      <c r="A42" s="1" t="s">
        <v>17</v>
      </c>
      <c r="B42" s="475"/>
      <c r="C42" s="475"/>
      <c r="D42" s="484"/>
      <c r="E42" s="484"/>
      <c r="F42" s="484"/>
      <c r="G42" s="484"/>
      <c r="H42" s="484"/>
      <c r="I42" s="484"/>
      <c r="J42" s="484"/>
      <c r="K42" s="485"/>
      <c r="L42" s="479"/>
      <c r="M42" s="475"/>
      <c r="N42" s="486"/>
      <c r="O42" s="486"/>
      <c r="P42" s="486"/>
      <c r="Q42" s="486"/>
      <c r="R42" s="486"/>
      <c r="S42" s="486"/>
      <c r="T42" s="475"/>
      <c r="U42" s="480"/>
      <c r="V42" s="480"/>
      <c r="W42" s="480"/>
      <c r="X42" s="480"/>
      <c r="Y42" s="480"/>
      <c r="Z42" s="480"/>
    </row>
    <row r="43" spans="1:26" x14ac:dyDescent="0.3">
      <c r="A43" s="1" t="s">
        <v>18</v>
      </c>
      <c r="B43" s="475"/>
      <c r="C43" s="475"/>
      <c r="D43" s="484"/>
      <c r="E43" s="484"/>
      <c r="F43" s="484"/>
      <c r="G43" s="484"/>
      <c r="H43" s="484"/>
      <c r="I43" s="484"/>
      <c r="J43" s="484"/>
      <c r="K43" s="485"/>
      <c r="L43" s="479"/>
      <c r="M43" s="475"/>
      <c r="N43" s="486"/>
      <c r="O43" s="486"/>
      <c r="P43" s="486"/>
      <c r="Q43" s="486"/>
      <c r="R43" s="486"/>
      <c r="S43" s="486"/>
      <c r="T43" s="475"/>
      <c r="U43" s="480"/>
      <c r="V43" s="480"/>
      <c r="W43" s="480"/>
      <c r="X43" s="480"/>
      <c r="Y43" s="480"/>
      <c r="Z43" s="480"/>
    </row>
    <row r="44" spans="1:26" x14ac:dyDescent="0.3">
      <c r="A44" s="1" t="s">
        <v>19</v>
      </c>
      <c r="B44" s="475"/>
      <c r="C44" s="475"/>
      <c r="D44" s="484"/>
      <c r="E44" s="484"/>
      <c r="F44" s="484"/>
      <c r="G44" s="484"/>
      <c r="H44" s="484"/>
      <c r="I44" s="484"/>
      <c r="J44" s="484"/>
      <c r="K44" s="485"/>
      <c r="L44" s="479"/>
      <c r="M44" s="475"/>
      <c r="N44" s="486"/>
      <c r="O44" s="486"/>
      <c r="P44" s="486"/>
      <c r="Q44" s="486"/>
      <c r="R44" s="486"/>
      <c r="S44" s="486"/>
      <c r="T44" s="475"/>
      <c r="U44" s="480"/>
      <c r="V44" s="480"/>
      <c r="W44" s="480"/>
      <c r="X44" s="480"/>
      <c r="Y44" s="480"/>
      <c r="Z44" s="480"/>
    </row>
    <row r="45" spans="1:26" x14ac:dyDescent="0.3">
      <c r="A45" s="1" t="s">
        <v>20</v>
      </c>
      <c r="B45" s="475"/>
      <c r="C45" s="475"/>
      <c r="D45" s="484"/>
      <c r="E45" s="484"/>
      <c r="F45" s="484"/>
      <c r="G45" s="484"/>
      <c r="H45" s="484"/>
      <c r="I45" s="484"/>
      <c r="J45" s="484"/>
      <c r="K45" s="485"/>
      <c r="L45" s="479"/>
      <c r="M45" s="475"/>
      <c r="N45" s="486"/>
      <c r="O45" s="486"/>
      <c r="P45" s="486"/>
      <c r="Q45" s="486"/>
      <c r="R45" s="486"/>
      <c r="S45" s="486"/>
      <c r="T45" s="475"/>
      <c r="U45" s="480"/>
      <c r="V45" s="480"/>
      <c r="W45" s="480"/>
      <c r="X45" s="480"/>
      <c r="Y45" s="480"/>
      <c r="Z45" s="475"/>
    </row>
    <row r="46" spans="1:26" x14ac:dyDescent="0.3">
      <c r="A46" s="1" t="s">
        <v>21</v>
      </c>
      <c r="B46" s="475"/>
      <c r="C46" s="475"/>
      <c r="D46" s="484"/>
      <c r="E46" s="484"/>
      <c r="F46" s="484"/>
      <c r="G46" s="484"/>
      <c r="H46" s="484"/>
      <c r="I46" s="484"/>
      <c r="J46" s="484"/>
      <c r="K46" s="485"/>
      <c r="L46" s="479"/>
      <c r="M46" s="475"/>
      <c r="N46" s="486"/>
      <c r="O46" s="486"/>
      <c r="P46" s="486"/>
      <c r="Q46" s="486"/>
      <c r="R46" s="486"/>
      <c r="S46" s="486"/>
      <c r="T46" s="475"/>
      <c r="U46" s="480"/>
      <c r="V46" s="480"/>
      <c r="W46" s="480"/>
      <c r="X46" s="480"/>
      <c r="Y46" s="480"/>
      <c r="Z46" s="475"/>
    </row>
    <row r="47" spans="1:26" x14ac:dyDescent="0.3">
      <c r="A47" t="s">
        <v>22</v>
      </c>
      <c r="B47" s="475"/>
      <c r="C47" s="475"/>
      <c r="D47" s="484"/>
      <c r="E47" s="484"/>
      <c r="F47" s="484"/>
      <c r="G47" s="484"/>
      <c r="H47" s="484"/>
      <c r="I47" s="484"/>
      <c r="J47" s="484"/>
      <c r="K47" s="485"/>
      <c r="L47" s="479"/>
      <c r="M47" s="475"/>
      <c r="N47" s="486"/>
      <c r="O47" s="486"/>
      <c r="P47" s="486"/>
      <c r="Q47" s="486"/>
      <c r="R47" s="486"/>
      <c r="S47" s="486"/>
      <c r="T47" s="475"/>
      <c r="U47" s="480"/>
      <c r="V47" s="480"/>
      <c r="W47" s="480"/>
      <c r="X47" s="480"/>
      <c r="Y47" s="480"/>
      <c r="Z47" s="475"/>
    </row>
    <row r="48" spans="1:26" x14ac:dyDescent="0.3">
      <c r="A48" t="s">
        <v>27</v>
      </c>
      <c r="B48" s="475"/>
      <c r="C48" s="475"/>
      <c r="D48" s="484"/>
      <c r="E48" s="484"/>
      <c r="F48" s="484"/>
      <c r="G48" s="484"/>
      <c r="H48" s="484"/>
      <c r="I48" s="484"/>
      <c r="J48" s="484"/>
      <c r="K48" s="485"/>
      <c r="L48" s="479"/>
      <c r="M48" s="475"/>
      <c r="N48" s="486"/>
      <c r="O48" s="486"/>
      <c r="P48" s="486"/>
      <c r="Q48" s="486"/>
      <c r="R48" s="486"/>
      <c r="S48" s="486"/>
      <c r="T48" s="475"/>
      <c r="U48" s="480"/>
      <c r="V48" s="480"/>
      <c r="W48" s="480"/>
      <c r="X48" s="480"/>
      <c r="Y48" s="480"/>
      <c r="Z48" s="475"/>
    </row>
    <row r="49" spans="1:26" x14ac:dyDescent="0.3">
      <c r="A49" t="s">
        <v>28</v>
      </c>
      <c r="B49" s="475"/>
      <c r="C49" s="475"/>
      <c r="D49" s="484"/>
      <c r="E49" s="484"/>
      <c r="F49" s="484"/>
      <c r="G49" s="484"/>
      <c r="H49" s="484"/>
      <c r="I49" s="484"/>
      <c r="J49" s="484"/>
      <c r="K49" s="485"/>
      <c r="L49" s="479"/>
      <c r="M49" s="475"/>
      <c r="N49" s="486"/>
      <c r="O49" s="486"/>
      <c r="P49" s="486"/>
      <c r="Q49" s="486"/>
      <c r="R49" s="486"/>
      <c r="S49" s="486"/>
      <c r="T49" s="475"/>
      <c r="U49" s="480"/>
      <c r="V49" s="480"/>
      <c r="W49" s="480"/>
      <c r="X49" s="480"/>
      <c r="Y49" s="480"/>
      <c r="Z49" s="475"/>
    </row>
    <row r="50" spans="1:26" x14ac:dyDescent="0.3">
      <c r="A50" t="s">
        <v>32</v>
      </c>
      <c r="B50" s="475"/>
      <c r="C50" s="475"/>
      <c r="D50" s="484"/>
      <c r="E50" s="484"/>
      <c r="F50" s="484"/>
      <c r="G50" s="484"/>
      <c r="H50" s="484"/>
      <c r="I50" s="484"/>
      <c r="J50" s="484"/>
      <c r="K50" s="485"/>
      <c r="L50" s="479"/>
      <c r="M50" s="475"/>
      <c r="N50" s="486"/>
      <c r="O50" s="486"/>
      <c r="P50" s="486"/>
      <c r="Q50" s="486"/>
      <c r="R50" s="486"/>
      <c r="S50" s="486"/>
      <c r="T50" s="475"/>
      <c r="U50" s="480"/>
      <c r="V50" s="480"/>
      <c r="W50" s="480"/>
      <c r="X50" s="480"/>
      <c r="Y50" s="480"/>
      <c r="Z50" s="475"/>
    </row>
    <row r="51" spans="1:26" x14ac:dyDescent="0.3">
      <c r="A51" t="s">
        <v>81</v>
      </c>
      <c r="B51" s="475"/>
      <c r="C51" s="475"/>
      <c r="D51" s="484"/>
      <c r="E51" s="484"/>
      <c r="F51" s="484"/>
      <c r="G51" s="484"/>
      <c r="H51" s="484"/>
      <c r="I51" s="484"/>
      <c r="J51" s="484"/>
      <c r="K51" s="485"/>
      <c r="L51" s="479"/>
      <c r="M51" s="475"/>
      <c r="N51" s="486"/>
      <c r="O51" s="486"/>
      <c r="P51" s="486"/>
      <c r="Q51" s="486"/>
      <c r="R51" s="486"/>
      <c r="S51" s="486"/>
      <c r="T51" s="475"/>
      <c r="U51" s="480"/>
      <c r="V51" s="480"/>
      <c r="W51" s="480"/>
      <c r="X51" s="480"/>
      <c r="Y51" s="480"/>
      <c r="Z51" s="475"/>
    </row>
    <row r="52" spans="1:26" x14ac:dyDescent="0.3">
      <c r="A52" s="1" t="s">
        <v>81</v>
      </c>
      <c r="B52" s="475"/>
      <c r="C52" s="475"/>
      <c r="D52" s="484"/>
      <c r="E52" s="484"/>
      <c r="F52" s="484"/>
      <c r="G52" s="484"/>
      <c r="H52" s="484"/>
      <c r="I52" s="484"/>
      <c r="J52" s="484"/>
      <c r="K52" s="485"/>
      <c r="L52" s="477"/>
      <c r="M52" s="475"/>
      <c r="N52" s="486"/>
      <c r="O52" s="486"/>
      <c r="P52" s="486"/>
      <c r="Q52" s="486"/>
      <c r="R52" s="486"/>
      <c r="S52" s="486"/>
      <c r="T52" s="475"/>
      <c r="U52" s="480"/>
      <c r="V52" s="480"/>
      <c r="W52" s="480"/>
      <c r="X52" s="480"/>
      <c r="Y52" s="480"/>
      <c r="Z52" s="475"/>
    </row>
    <row r="53" spans="1:26" x14ac:dyDescent="0.3">
      <c r="A53" t="s">
        <v>33</v>
      </c>
      <c r="B53" s="475"/>
      <c r="C53" s="475"/>
      <c r="D53" s="484"/>
      <c r="E53" s="484"/>
      <c r="F53" s="484"/>
      <c r="G53" s="484"/>
      <c r="H53" s="484"/>
      <c r="I53" s="484"/>
      <c r="J53" s="484"/>
      <c r="K53" s="485"/>
      <c r="L53" s="479"/>
      <c r="M53" s="475"/>
      <c r="N53" s="486"/>
      <c r="O53" s="486"/>
      <c r="P53" s="486"/>
      <c r="Q53" s="486"/>
      <c r="R53" s="486"/>
      <c r="S53" s="486"/>
      <c r="T53" s="475"/>
      <c r="U53" s="480"/>
      <c r="V53" s="480"/>
      <c r="W53" s="480"/>
      <c r="X53" s="480"/>
      <c r="Y53" s="480"/>
      <c r="Z53" s="475"/>
    </row>
    <row r="54" spans="1:26" x14ac:dyDescent="0.3">
      <c r="A54" s="1" t="s">
        <v>321</v>
      </c>
      <c r="B54" s="475"/>
      <c r="C54" s="475"/>
      <c r="D54" s="484"/>
      <c r="E54" s="484"/>
      <c r="F54" s="484"/>
      <c r="G54" s="484"/>
      <c r="H54" s="484"/>
      <c r="I54" s="484"/>
      <c r="J54" s="484"/>
      <c r="K54" s="485"/>
      <c r="L54" s="488"/>
      <c r="M54" s="475"/>
      <c r="N54" s="486"/>
      <c r="O54" s="486"/>
      <c r="P54" s="486"/>
      <c r="Q54" s="486"/>
      <c r="R54" s="486"/>
      <c r="S54" s="486"/>
      <c r="T54" s="475"/>
      <c r="U54" s="480"/>
      <c r="V54" s="480"/>
      <c r="W54" s="480"/>
      <c r="X54" s="480"/>
      <c r="Y54" s="480"/>
      <c r="Z54" s="475"/>
    </row>
    <row r="55" spans="1:26" ht="15" thickBot="1" x14ac:dyDescent="0.35">
      <c r="D55" s="83"/>
      <c r="E55" s="84">
        <v>13887955.499999998</v>
      </c>
      <c r="F55" s="84">
        <v>13501485.019806679</v>
      </c>
      <c r="G55" s="84">
        <v>13529998.918281173</v>
      </c>
      <c r="H55" s="84">
        <v>13602144.467080159</v>
      </c>
      <c r="I55" s="84">
        <v>13602949.251561038</v>
      </c>
      <c r="J55" s="84">
        <v>13565690.698043874</v>
      </c>
      <c r="N55" s="400">
        <v>13857187.499999998</v>
      </c>
      <c r="O55" s="400">
        <v>13017960</v>
      </c>
      <c r="P55" s="400">
        <v>12722502.999999998</v>
      </c>
      <c r="Q55" s="400">
        <v>12722502.999999998</v>
      </c>
      <c r="R55" s="400">
        <v>11246242</v>
      </c>
      <c r="S55" s="400">
        <v>10754155</v>
      </c>
      <c r="U55" s="400">
        <v>483525.0198066812</v>
      </c>
      <c r="V55" s="400">
        <v>807495.91828117426</v>
      </c>
      <c r="W55" s="400">
        <v>879641.46708016051</v>
      </c>
      <c r="X55" s="400">
        <v>2356707.2515610387</v>
      </c>
      <c r="Y55" s="400">
        <v>2811535.6980438749</v>
      </c>
    </row>
    <row r="56" spans="1:26" ht="15" thickTop="1" x14ac:dyDescent="0.3">
      <c r="E56" s="85"/>
      <c r="F56" s="85"/>
      <c r="G56" s="85"/>
      <c r="H56" s="85"/>
      <c r="I56" s="85"/>
      <c r="J56" s="85"/>
      <c r="N56" s="401"/>
      <c r="O56" s="401"/>
      <c r="P56" s="401"/>
      <c r="Q56" s="401"/>
      <c r="R56" s="401"/>
      <c r="S56" s="401"/>
    </row>
    <row r="60" spans="1:26" x14ac:dyDescent="0.3">
      <c r="A60" s="380" t="s">
        <v>323</v>
      </c>
      <c r="E60" s="75" t="s">
        <v>39</v>
      </c>
      <c r="F60" s="75" t="s">
        <v>40</v>
      </c>
      <c r="G60" s="75" t="s">
        <v>41</v>
      </c>
      <c r="H60" s="75" t="s">
        <v>42</v>
      </c>
      <c r="I60" s="75" t="s">
        <v>43</v>
      </c>
      <c r="J60" s="75" t="s">
        <v>44</v>
      </c>
      <c r="N60" s="75" t="s">
        <v>39</v>
      </c>
      <c r="O60" s="75" t="s">
        <v>40</v>
      </c>
      <c r="P60" s="75" t="s">
        <v>41</v>
      </c>
      <c r="Q60" s="75" t="s">
        <v>42</v>
      </c>
      <c r="R60" s="75" t="s">
        <v>43</v>
      </c>
      <c r="S60" s="75" t="s">
        <v>44</v>
      </c>
      <c r="U60" s="75" t="s">
        <v>40</v>
      </c>
      <c r="V60" s="75" t="s">
        <v>41</v>
      </c>
      <c r="W60" s="75" t="s">
        <v>42</v>
      </c>
      <c r="X60" s="75" t="s">
        <v>43</v>
      </c>
      <c r="Y60" s="75" t="s">
        <v>44</v>
      </c>
    </row>
    <row r="62" spans="1:26" x14ac:dyDescent="0.3">
      <c r="A62" s="86" t="s">
        <v>232</v>
      </c>
      <c r="E62" s="87">
        <v>1787421.9999999993</v>
      </c>
      <c r="F62" s="87">
        <v>1787421.9999999993</v>
      </c>
      <c r="G62" s="87">
        <v>1787421.9999999993</v>
      </c>
      <c r="H62" s="87">
        <v>1787421.9999999993</v>
      </c>
      <c r="I62" s="87">
        <v>1787421.9999999993</v>
      </c>
      <c r="J62" s="87">
        <v>1787421.9999999993</v>
      </c>
      <c r="N62" s="87">
        <v>1787421.9999999993</v>
      </c>
      <c r="O62" s="87">
        <v>1787421.9999999993</v>
      </c>
      <c r="P62" s="87">
        <v>1787421.9999999993</v>
      </c>
      <c r="Q62" s="87">
        <v>1787421.9999999993</v>
      </c>
      <c r="R62" s="87">
        <v>1787421.9999999993</v>
      </c>
      <c r="S62" s="87">
        <v>1787421.9999999993</v>
      </c>
      <c r="U62" s="87">
        <v>0</v>
      </c>
      <c r="V62" s="87">
        <v>0</v>
      </c>
      <c r="W62" s="87">
        <v>0</v>
      </c>
      <c r="X62" s="87">
        <v>0</v>
      </c>
      <c r="Y62" s="87">
        <v>0</v>
      </c>
      <c r="Z62" s="9">
        <v>0</v>
      </c>
    </row>
    <row r="63" spans="1:26" x14ac:dyDescent="0.3">
      <c r="A63" s="86" t="s">
        <v>231</v>
      </c>
      <c r="E63" s="87">
        <v>572425</v>
      </c>
      <c r="F63" s="87">
        <v>572425</v>
      </c>
      <c r="G63" s="87">
        <v>672425</v>
      </c>
      <c r="H63" s="87">
        <v>672425</v>
      </c>
      <c r="I63" s="87">
        <v>672425</v>
      </c>
      <c r="J63" s="87">
        <v>672425</v>
      </c>
      <c r="N63" s="87">
        <v>572425</v>
      </c>
      <c r="O63" s="87">
        <v>572425</v>
      </c>
      <c r="P63" s="87">
        <v>672425</v>
      </c>
      <c r="Q63" s="87">
        <v>672425</v>
      </c>
      <c r="R63" s="87">
        <v>672425</v>
      </c>
      <c r="S63" s="87">
        <v>672425</v>
      </c>
      <c r="U63" s="87">
        <v>0</v>
      </c>
      <c r="V63" s="87">
        <v>0</v>
      </c>
      <c r="W63" s="87">
        <v>0</v>
      </c>
      <c r="X63" s="87">
        <v>0</v>
      </c>
      <c r="Y63" s="87">
        <v>0</v>
      </c>
      <c r="Z63" s="9">
        <v>0</v>
      </c>
    </row>
    <row r="64" spans="1:26" x14ac:dyDescent="0.3">
      <c r="A64" s="18" t="s">
        <v>87</v>
      </c>
      <c r="E64" s="87">
        <v>11528108.499999998</v>
      </c>
      <c r="F64" s="87">
        <v>11141638.019806679</v>
      </c>
      <c r="G64" s="87">
        <v>11070151.918281173</v>
      </c>
      <c r="H64" s="87">
        <v>11142297.467080159</v>
      </c>
      <c r="I64" s="87">
        <v>11143102.251561038</v>
      </c>
      <c r="J64" s="87">
        <v>11105843.698043874</v>
      </c>
      <c r="N64" s="87">
        <v>11497340.499999998</v>
      </c>
      <c r="O64" s="87">
        <v>10658113</v>
      </c>
      <c r="P64" s="87">
        <v>10262655.999999998</v>
      </c>
      <c r="Q64" s="87">
        <v>10262655.999999998</v>
      </c>
      <c r="R64" s="87">
        <v>8786395</v>
      </c>
      <c r="S64" s="87">
        <v>8294308</v>
      </c>
      <c r="U64" s="87">
        <v>483525.0198066812</v>
      </c>
      <c r="V64" s="87">
        <v>807495.91828117426</v>
      </c>
      <c r="W64" s="87">
        <v>879641.46708016051</v>
      </c>
      <c r="X64" s="87">
        <v>2356707.2515610387</v>
      </c>
      <c r="Y64" s="87">
        <v>2811535.6980438749</v>
      </c>
      <c r="Z64" s="9">
        <v>7338905.3547729291</v>
      </c>
    </row>
    <row r="67" spans="1:28" x14ac:dyDescent="0.3">
      <c r="A67" s="86" t="s">
        <v>233</v>
      </c>
      <c r="E67" s="9">
        <v>992000</v>
      </c>
      <c r="F67" s="9">
        <v>992000</v>
      </c>
      <c r="G67" s="9">
        <v>992000</v>
      </c>
      <c r="H67" s="9">
        <v>992000</v>
      </c>
      <c r="I67" s="9">
        <v>992000</v>
      </c>
      <c r="J67" s="9">
        <v>992000</v>
      </c>
      <c r="N67" s="9">
        <v>992000</v>
      </c>
      <c r="O67" s="9">
        <v>992000</v>
      </c>
      <c r="P67" s="9">
        <v>992000</v>
      </c>
      <c r="Q67" s="9">
        <v>992000</v>
      </c>
      <c r="R67" s="9">
        <v>992000</v>
      </c>
      <c r="S67" s="9">
        <v>992000</v>
      </c>
      <c r="U67" s="9">
        <v>0</v>
      </c>
      <c r="V67" s="9">
        <v>0</v>
      </c>
      <c r="W67" s="9">
        <v>0</v>
      </c>
      <c r="X67" s="9">
        <v>0</v>
      </c>
      <c r="Y67" s="9">
        <v>0</v>
      </c>
      <c r="Z67" s="9">
        <v>0</v>
      </c>
    </row>
    <row r="68" spans="1:28" x14ac:dyDescent="0.3">
      <c r="A68" s="18" t="s">
        <v>88</v>
      </c>
      <c r="E68" s="9">
        <v>6374789</v>
      </c>
      <c r="F68" s="9">
        <v>6846086.1999999993</v>
      </c>
      <c r="G68" s="9">
        <v>6975062.3999999994</v>
      </c>
      <c r="H68" s="9">
        <v>6780462.3999999994</v>
      </c>
      <c r="I68" s="9">
        <v>6185424.3999999994</v>
      </c>
      <c r="J68" s="9">
        <v>6006626.3999999994</v>
      </c>
      <c r="N68" s="9">
        <v>6374789</v>
      </c>
      <c r="O68" s="9">
        <v>6229070</v>
      </c>
      <c r="P68" s="9">
        <v>5957145</v>
      </c>
      <c r="Q68" s="9">
        <v>5692700.3999999994</v>
      </c>
      <c r="R68" s="9">
        <v>3375894</v>
      </c>
      <c r="S68" s="9">
        <v>2537225.5999999996</v>
      </c>
      <c r="U68" s="9">
        <v>617016.19999999972</v>
      </c>
      <c r="V68" s="9">
        <v>1017917.3999999997</v>
      </c>
      <c r="W68" s="9">
        <v>1087761.9999999998</v>
      </c>
      <c r="X68" s="9">
        <v>2809530.3999999994</v>
      </c>
      <c r="Y68" s="9">
        <v>3469400.8</v>
      </c>
      <c r="Z68" s="9">
        <v>9001626.799999997</v>
      </c>
    </row>
    <row r="70" spans="1:28" s="5" customFormat="1" x14ac:dyDescent="0.3">
      <c r="U70" s="403">
        <v>1100541.2198066809</v>
      </c>
      <c r="V70" s="403">
        <v>1825413.3182811739</v>
      </c>
      <c r="W70" s="403">
        <v>1967403.4670801603</v>
      </c>
      <c r="X70" s="403">
        <v>5166237.6515610386</v>
      </c>
      <c r="Y70" s="403">
        <v>6280936.4980438743</v>
      </c>
      <c r="Z70" s="403">
        <v>16340532.154772928</v>
      </c>
      <c r="AA70" s="402"/>
    </row>
    <row r="71" spans="1:28" s="5" customFormat="1" x14ac:dyDescent="0.3">
      <c r="U71" s="24"/>
      <c r="V71" s="24"/>
      <c r="W71" s="24"/>
      <c r="X71" s="24"/>
      <c r="Y71" s="24"/>
      <c r="Z71" s="24"/>
      <c r="AA71" s="402"/>
    </row>
    <row r="72" spans="1:28" x14ac:dyDescent="0.3">
      <c r="A72" s="5" t="s">
        <v>407</v>
      </c>
      <c r="B72" s="5"/>
      <c r="C72" s="5"/>
      <c r="D72" s="5"/>
      <c r="E72" s="5"/>
      <c r="F72" s="416">
        <f>SUM(F64,F68)</f>
        <v>17987724.219806679</v>
      </c>
      <c r="G72" s="416">
        <f t="shared" ref="G72:J72" si="0">SUM(G64,G68)</f>
        <v>18045214.318281174</v>
      </c>
      <c r="H72" s="416">
        <f t="shared" si="0"/>
        <v>17922759.867080159</v>
      </c>
      <c r="I72" s="416">
        <f t="shared" si="0"/>
        <v>17328526.651561037</v>
      </c>
      <c r="J72" s="416">
        <f t="shared" si="0"/>
        <v>17112470.098043874</v>
      </c>
      <c r="K72" s="5"/>
      <c r="L72" s="402"/>
      <c r="M72" s="5"/>
      <c r="N72" s="5"/>
      <c r="O72" s="416">
        <f>SUM(O64,O68)</f>
        <v>16887183</v>
      </c>
      <c r="P72" s="416">
        <f t="shared" ref="P72:S72" si="1">SUM(P64,P68)</f>
        <v>16219800.999999998</v>
      </c>
      <c r="Q72" s="416">
        <f t="shared" si="1"/>
        <v>15955356.399999999</v>
      </c>
      <c r="R72" s="416">
        <f t="shared" si="1"/>
        <v>12162289</v>
      </c>
      <c r="S72" s="416">
        <f t="shared" si="1"/>
        <v>10831533.6</v>
      </c>
      <c r="U72" s="416">
        <f>SUM(U64,U68)</f>
        <v>1100541.2198066809</v>
      </c>
      <c r="V72" s="416">
        <f t="shared" ref="V72:Y72" si="2">SUM(V64,V68)</f>
        <v>1825413.3182811739</v>
      </c>
      <c r="W72" s="416">
        <f t="shared" si="2"/>
        <v>1967403.4670801603</v>
      </c>
      <c r="X72" s="416">
        <f t="shared" si="2"/>
        <v>5166237.6515610386</v>
      </c>
      <c r="Y72" s="416">
        <f t="shared" si="2"/>
        <v>6280936.4980438743</v>
      </c>
      <c r="Z72" s="416">
        <f t="shared" ref="Z72" si="3">SUM(Z64,Z68)</f>
        <v>16340532.154772926</v>
      </c>
    </row>
    <row r="73" spans="1:28" x14ac:dyDescent="0.3">
      <c r="A73" s="5" t="s">
        <v>408</v>
      </c>
      <c r="F73" s="416">
        <f>SUM(F62:F63,F67)</f>
        <v>3351846.9999999991</v>
      </c>
      <c r="G73" s="416">
        <f t="shared" ref="G73:J73" si="4">SUM(G62:G63,G67)</f>
        <v>3451846.9999999991</v>
      </c>
      <c r="H73" s="416">
        <f t="shared" si="4"/>
        <v>3451846.9999999991</v>
      </c>
      <c r="I73" s="416">
        <f t="shared" si="4"/>
        <v>3451846.9999999991</v>
      </c>
      <c r="J73" s="416">
        <f t="shared" si="4"/>
        <v>3451846.9999999991</v>
      </c>
      <c r="O73" s="416">
        <f>SUM(O62:O63,O67)</f>
        <v>3351846.9999999991</v>
      </c>
      <c r="P73" s="416">
        <f t="shared" ref="P73:S73" si="5">SUM(P62:P63,P67)</f>
        <v>3451846.9999999991</v>
      </c>
      <c r="Q73" s="416">
        <f t="shared" si="5"/>
        <v>3451846.9999999991</v>
      </c>
      <c r="R73" s="416">
        <f t="shared" si="5"/>
        <v>3451846.9999999991</v>
      </c>
      <c r="S73" s="416">
        <f t="shared" si="5"/>
        <v>3451846.9999999991</v>
      </c>
      <c r="U73" s="416">
        <f>SUM(U62:U63,U67)</f>
        <v>0</v>
      </c>
      <c r="V73" s="416">
        <f t="shared" ref="V73:Y73" si="6">SUM(V62:V63,V67)</f>
        <v>0</v>
      </c>
      <c r="W73" s="416">
        <f t="shared" si="6"/>
        <v>0</v>
      </c>
      <c r="X73" s="416">
        <f t="shared" si="6"/>
        <v>0</v>
      </c>
      <c r="Y73" s="416">
        <f t="shared" si="6"/>
        <v>0</v>
      </c>
      <c r="Z73" s="416">
        <f t="shared" ref="Z73" si="7">SUM(Z62:Z63,Z67)</f>
        <v>0</v>
      </c>
    </row>
    <row r="74" spans="1:28" x14ac:dyDescent="0.3">
      <c r="A74" s="5"/>
      <c r="F74" s="416"/>
      <c r="G74" s="416"/>
      <c r="H74" s="416"/>
      <c r="I74" s="416"/>
      <c r="J74" s="416"/>
      <c r="O74" s="416"/>
      <c r="P74" s="416"/>
      <c r="Q74" s="416"/>
      <c r="R74" s="416"/>
      <c r="S74" s="416"/>
    </row>
    <row r="75" spans="1:28" x14ac:dyDescent="0.3">
      <c r="A75" s="8" t="s">
        <v>425</v>
      </c>
    </row>
    <row r="76" spans="1:28" x14ac:dyDescent="0.3">
      <c r="A76" s="471"/>
      <c r="U76" s="9">
        <v>0</v>
      </c>
      <c r="V76" s="9">
        <v>0</v>
      </c>
      <c r="W76" s="9">
        <v>0</v>
      </c>
      <c r="X76" s="9">
        <v>118817</v>
      </c>
      <c r="Y76" s="9">
        <v>346054</v>
      </c>
      <c r="Z76" s="454">
        <v>464871</v>
      </c>
      <c r="AB76" s="245"/>
    </row>
    <row r="77" spans="1:28" x14ac:dyDescent="0.3">
      <c r="A77" s="471"/>
      <c r="U77" s="9">
        <v>617016.19999999972</v>
      </c>
      <c r="V77" s="9">
        <v>1017917.3999999997</v>
      </c>
      <c r="W77" s="9">
        <v>1282361.9999999998</v>
      </c>
      <c r="X77" s="9">
        <v>1479188.3999999997</v>
      </c>
      <c r="Y77" s="9">
        <v>1518514.7999999996</v>
      </c>
      <c r="Z77" s="453">
        <v>5914998.7999999989</v>
      </c>
      <c r="AB77" s="245"/>
    </row>
    <row r="78" spans="1:28" x14ac:dyDescent="0.3">
      <c r="A78" s="471"/>
      <c r="U78" s="9">
        <v>0</v>
      </c>
      <c r="V78" s="9">
        <v>0</v>
      </c>
      <c r="W78" s="9">
        <v>0</v>
      </c>
      <c r="X78" s="9">
        <v>0</v>
      </c>
      <c r="Y78" s="9">
        <v>18000</v>
      </c>
      <c r="Z78" s="453">
        <v>18000</v>
      </c>
      <c r="AB78" s="245"/>
    </row>
    <row r="79" spans="1:28" x14ac:dyDescent="0.3">
      <c r="A79" s="471"/>
      <c r="U79" s="9">
        <v>0</v>
      </c>
      <c r="V79" s="9">
        <v>0</v>
      </c>
      <c r="W79" s="9">
        <v>0</v>
      </c>
      <c r="X79" s="9">
        <v>808425</v>
      </c>
      <c r="Y79" s="9">
        <v>1003032</v>
      </c>
      <c r="Z79" s="454">
        <v>1811457</v>
      </c>
      <c r="AB79" s="245"/>
    </row>
    <row r="80" spans="1:28" x14ac:dyDescent="0.3">
      <c r="A80" s="471"/>
      <c r="U80" s="9">
        <v>0</v>
      </c>
      <c r="V80" s="9">
        <v>0</v>
      </c>
      <c r="W80" s="9">
        <v>-194600</v>
      </c>
      <c r="X80" s="9">
        <v>403100</v>
      </c>
      <c r="Y80" s="9">
        <v>583800</v>
      </c>
      <c r="Z80" s="453">
        <v>792300</v>
      </c>
      <c r="AB80" s="245"/>
    </row>
    <row r="81" spans="1:32" x14ac:dyDescent="0.3">
      <c r="A81" s="472"/>
      <c r="U81" s="9">
        <v>30768</v>
      </c>
      <c r="V81" s="9">
        <v>30768</v>
      </c>
      <c r="W81" s="9">
        <v>30768</v>
      </c>
      <c r="X81" s="9">
        <v>316475</v>
      </c>
      <c r="Y81" s="9">
        <v>411711</v>
      </c>
      <c r="Z81" s="453">
        <v>820490</v>
      </c>
      <c r="AA81" s="73" t="s">
        <v>379</v>
      </c>
      <c r="AB81" s="245"/>
    </row>
    <row r="82" spans="1:32" x14ac:dyDescent="0.3">
      <c r="A82" s="472"/>
      <c r="U82" s="9">
        <v>0</v>
      </c>
      <c r="V82" s="9">
        <v>0</v>
      </c>
      <c r="W82" s="9">
        <v>0</v>
      </c>
      <c r="X82" s="9">
        <v>101180.99999999997</v>
      </c>
      <c r="Y82" s="9">
        <v>134907.99999999997</v>
      </c>
      <c r="Z82" s="453">
        <v>236088.99999999994</v>
      </c>
      <c r="AB82" s="245"/>
    </row>
    <row r="83" spans="1:32" x14ac:dyDescent="0.3">
      <c r="U83" s="9">
        <v>647784.19999999972</v>
      </c>
      <c r="V83" s="9">
        <v>1048685.3999999997</v>
      </c>
      <c r="W83" s="9">
        <v>1118529.9999999998</v>
      </c>
      <c r="X83" s="9">
        <v>3227186.3999999994</v>
      </c>
      <c r="Y83" s="9">
        <v>4016019.8</v>
      </c>
      <c r="Z83" s="455"/>
      <c r="AB83" s="245"/>
    </row>
    <row r="84" spans="1:32" x14ac:dyDescent="0.3">
      <c r="A84" s="8" t="s">
        <v>423</v>
      </c>
      <c r="Z84" s="455"/>
      <c r="AB84" s="245"/>
    </row>
    <row r="85" spans="1:32" x14ac:dyDescent="0.3">
      <c r="A85" s="413" t="s">
        <v>424</v>
      </c>
      <c r="U85" s="87">
        <v>365266.48695406341</v>
      </c>
      <c r="V85" s="87">
        <v>427376.68891712604</v>
      </c>
      <c r="W85" s="87">
        <v>441208.09978687065</v>
      </c>
      <c r="X85" s="87">
        <v>441362.38934460399</v>
      </c>
      <c r="Y85" s="87">
        <v>434219.35182271712</v>
      </c>
      <c r="Z85" s="454">
        <v>2109433.0168253812</v>
      </c>
      <c r="AA85" s="73" t="s">
        <v>379</v>
      </c>
      <c r="AB85" s="245"/>
    </row>
    <row r="86" spans="1:32" x14ac:dyDescent="0.3">
      <c r="A86" s="413" t="s">
        <v>393</v>
      </c>
      <c r="U86" s="87">
        <v>87490.532852618257</v>
      </c>
      <c r="V86" s="87">
        <v>349351.22936404916</v>
      </c>
      <c r="W86" s="87">
        <v>407665.36729329079</v>
      </c>
      <c r="X86" s="87">
        <v>0</v>
      </c>
      <c r="Y86" s="87">
        <v>0</v>
      </c>
      <c r="Z86" s="454">
        <v>844507.12950995821</v>
      </c>
      <c r="AA86" s="73" t="s">
        <v>379</v>
      </c>
      <c r="AB86" s="245"/>
    </row>
    <row r="87" spans="1:32" x14ac:dyDescent="0.3">
      <c r="A87" s="413" t="s">
        <v>426</v>
      </c>
      <c r="U87" s="87">
        <v>0</v>
      </c>
      <c r="V87" s="87">
        <v>0</v>
      </c>
      <c r="W87" s="87">
        <v>0</v>
      </c>
      <c r="X87" s="87">
        <v>1497688.8622164356</v>
      </c>
      <c r="Y87" s="87">
        <v>1830697.3462211583</v>
      </c>
      <c r="Z87" s="454">
        <v>3328386.2084375937</v>
      </c>
      <c r="AA87" s="73" t="s">
        <v>379</v>
      </c>
      <c r="AB87" s="245"/>
    </row>
    <row r="88" spans="1:32" x14ac:dyDescent="0.3">
      <c r="A88" s="413"/>
      <c r="U88" s="87"/>
      <c r="V88" s="87"/>
      <c r="W88" s="87"/>
      <c r="X88" s="87"/>
      <c r="Y88" s="87"/>
      <c r="Z88" s="87"/>
    </row>
    <row r="89" spans="1:32" x14ac:dyDescent="0.3">
      <c r="A89" s="413"/>
      <c r="U89" s="9">
        <v>1748325.4198066811</v>
      </c>
      <c r="V89" s="9">
        <v>2874098.7182811745</v>
      </c>
      <c r="W89" s="9">
        <v>3085933.467080161</v>
      </c>
      <c r="X89" s="9">
        <v>8393424.0515610389</v>
      </c>
      <c r="Y89" s="9">
        <v>10296956.298043875</v>
      </c>
      <c r="Z89" s="412">
        <v>16340532.154772932</v>
      </c>
      <c r="AA89" s="558"/>
      <c r="AB89" s="559"/>
      <c r="AC89" s="559"/>
      <c r="AD89" s="559"/>
      <c r="AE89" s="559"/>
      <c r="AF89" s="559"/>
    </row>
    <row r="90" spans="1:32" x14ac:dyDescent="0.3">
      <c r="A90" s="456" t="s">
        <v>344</v>
      </c>
      <c r="U90" s="9"/>
      <c r="V90" s="9"/>
      <c r="W90" s="9"/>
      <c r="X90" s="9"/>
      <c r="Y90" s="9"/>
      <c r="Z90" s="412"/>
      <c r="AA90" s="560"/>
      <c r="AB90" s="145"/>
      <c r="AC90" s="145"/>
      <c r="AD90" s="145"/>
      <c r="AE90" s="145"/>
      <c r="AF90" s="145"/>
    </row>
    <row r="91" spans="1:32" x14ac:dyDescent="0.3">
      <c r="A91" s="413" t="s">
        <v>426</v>
      </c>
      <c r="U91" s="87">
        <v>617016.19999999972</v>
      </c>
      <c r="V91" s="87">
        <v>1017917.3999999997</v>
      </c>
      <c r="W91" s="87">
        <v>1087761.9999999998</v>
      </c>
      <c r="X91" s="87">
        <v>2910711.3999999994</v>
      </c>
      <c r="Y91" s="87">
        <v>3604308.8</v>
      </c>
      <c r="Z91" s="412">
        <v>9237715.799999997</v>
      </c>
      <c r="AA91" s="560"/>
      <c r="AB91" s="145"/>
      <c r="AC91" s="145"/>
      <c r="AD91" s="145"/>
      <c r="AE91" s="145"/>
      <c r="AF91" s="145"/>
    </row>
    <row r="92" spans="1:32" x14ac:dyDescent="0.3">
      <c r="A92" s="413" t="s">
        <v>395</v>
      </c>
      <c r="U92" s="87">
        <v>483525.01980668167</v>
      </c>
      <c r="V92" s="87">
        <v>807495.9182811752</v>
      </c>
      <c r="W92" s="87">
        <v>879641.46708016144</v>
      </c>
      <c r="X92" s="87">
        <v>2255526.2515610396</v>
      </c>
      <c r="Y92" s="87">
        <v>2676627.6980438754</v>
      </c>
      <c r="Z92" s="412">
        <v>7102816.3547729328</v>
      </c>
      <c r="AA92" s="558"/>
      <c r="AB92" s="15"/>
      <c r="AC92" s="15"/>
      <c r="AD92" s="15"/>
      <c r="AE92" s="15"/>
      <c r="AF92" s="15"/>
    </row>
    <row r="93" spans="1:32" x14ac:dyDescent="0.3">
      <c r="A93" s="413"/>
      <c r="U93" s="87"/>
      <c r="V93" s="87"/>
      <c r="W93" s="87"/>
      <c r="X93" s="87"/>
      <c r="Y93" s="87"/>
      <c r="Z93" s="412"/>
    </row>
    <row r="94" spans="1:32" x14ac:dyDescent="0.3">
      <c r="A94" s="413"/>
      <c r="U94" s="87"/>
      <c r="V94" s="87"/>
      <c r="W94" s="87"/>
      <c r="X94" s="87"/>
      <c r="Y94" s="87"/>
    </row>
    <row r="95" spans="1:32" x14ac:dyDescent="0.3">
      <c r="A95" s="413"/>
      <c r="U95" s="87"/>
      <c r="V95" s="87"/>
      <c r="W95" s="87"/>
      <c r="X95" s="87"/>
      <c r="Y95" s="87"/>
    </row>
    <row r="96" spans="1:32" x14ac:dyDescent="0.3">
      <c r="A96" s="413"/>
      <c r="U96" s="87"/>
      <c r="V96" s="87"/>
      <c r="W96" s="87"/>
      <c r="X96" s="87"/>
      <c r="Y96" s="87"/>
    </row>
    <row r="97" spans="1:15" x14ac:dyDescent="0.3">
      <c r="A97" s="8" t="s">
        <v>423</v>
      </c>
      <c r="K97" s="7" t="s">
        <v>122</v>
      </c>
    </row>
    <row r="98" spans="1:15" x14ac:dyDescent="0.3">
      <c r="A98" t="s">
        <v>377</v>
      </c>
      <c r="F98" s="82">
        <v>1389394</v>
      </c>
      <c r="G98" s="82">
        <v>1666679</v>
      </c>
      <c r="H98" s="82">
        <v>1764047</v>
      </c>
      <c r="I98" s="82">
        <v>1809204</v>
      </c>
      <c r="J98" s="82">
        <v>1824849</v>
      </c>
      <c r="K98" s="551">
        <f>SUM(F98:J98)</f>
        <v>8454173</v>
      </c>
      <c r="L98" s="414"/>
      <c r="M98" s="87"/>
      <c r="N98" s="87"/>
    </row>
    <row r="99" spans="1:15" x14ac:dyDescent="0.3">
      <c r="A99" s="1" t="s">
        <v>383</v>
      </c>
      <c r="E99">
        <v>0.71129047088839603</v>
      </c>
      <c r="F99" s="82"/>
      <c r="G99" s="82"/>
      <c r="H99" s="82"/>
      <c r="I99" s="82"/>
      <c r="J99" s="82"/>
      <c r="K99" s="551"/>
      <c r="L99" s="414"/>
      <c r="M99" s="87"/>
      <c r="N99" s="87"/>
    </row>
    <row r="100" spans="1:15" x14ac:dyDescent="0.3">
      <c r="A100" t="s">
        <v>376</v>
      </c>
      <c r="F100" s="82">
        <f>F98/$E$99</f>
        <v>1953342.6312666021</v>
      </c>
      <c r="G100" s="82">
        <f>G98/$E$99</f>
        <v>2343176.3368323091</v>
      </c>
      <c r="H100" s="82">
        <f>H98/$E$99</f>
        <v>2480065.5599908708</v>
      </c>
      <c r="I100" s="82">
        <f>I98/$E$99</f>
        <v>2543551.5784997358</v>
      </c>
      <c r="J100" s="82">
        <f>J98/$E$99</f>
        <v>2565546.8120088526</v>
      </c>
      <c r="K100" s="551">
        <f t="shared" ref="K100:K101" si="8">SUM(F100:J100)</f>
        <v>11885682.918598371</v>
      </c>
      <c r="L100" s="414"/>
      <c r="M100" s="87"/>
      <c r="N100" s="87"/>
    </row>
    <row r="101" spans="1:15" x14ac:dyDescent="0.3">
      <c r="A101" t="s">
        <v>378</v>
      </c>
      <c r="F101" s="82">
        <v>1905254.0198066817</v>
      </c>
      <c r="G101" s="82">
        <v>2229224.9182811752</v>
      </c>
      <c r="H101" s="82">
        <v>2301370.4670801614</v>
      </c>
      <c r="I101" s="82">
        <v>2302175.2515610396</v>
      </c>
      <c r="J101" s="82">
        <v>2264916.6980438754</v>
      </c>
      <c r="K101" s="551">
        <f t="shared" si="8"/>
        <v>11002941.354772933</v>
      </c>
      <c r="L101" s="414"/>
      <c r="M101" s="87"/>
      <c r="N101" s="87"/>
    </row>
    <row r="102" spans="1:15" x14ac:dyDescent="0.3">
      <c r="F102" s="417">
        <v>1.0252399999999999</v>
      </c>
      <c r="G102" s="417">
        <v>1.0511170576</v>
      </c>
      <c r="H102" s="417">
        <v>1.0776472521338238</v>
      </c>
      <c r="I102" s="417">
        <v>1.1048470687776815</v>
      </c>
      <c r="J102" s="417">
        <v>1.1327334087936303</v>
      </c>
      <c r="K102" s="551"/>
      <c r="L102" s="414"/>
      <c r="M102" s="87"/>
      <c r="N102" s="87"/>
    </row>
    <row r="103" spans="1:15" x14ac:dyDescent="0.3">
      <c r="F103" s="87"/>
      <c r="G103" s="87"/>
      <c r="H103" s="87"/>
      <c r="I103" s="87"/>
      <c r="J103" s="87"/>
      <c r="K103" s="551"/>
      <c r="L103" s="414"/>
      <c r="M103" s="87"/>
      <c r="N103" s="87"/>
    </row>
    <row r="104" spans="1:15" x14ac:dyDescent="0.3">
      <c r="A104" t="s">
        <v>428</v>
      </c>
      <c r="F104" s="87">
        <f>F98/0.88/F102</f>
        <v>1539987.5328526183</v>
      </c>
      <c r="G104" s="87">
        <f t="shared" ref="G104:J104" si="9">G98/0.88/G102</f>
        <v>1801848.2293640492</v>
      </c>
      <c r="H104" s="87">
        <f t="shared" si="9"/>
        <v>1860162.3672932908</v>
      </c>
      <c r="I104" s="87">
        <f t="shared" si="9"/>
        <v>1860812.8622164356</v>
      </c>
      <c r="J104" s="87">
        <f t="shared" si="9"/>
        <v>1830697.3462211583</v>
      </c>
      <c r="K104" s="551">
        <f t="shared" ref="K104:K105" si="10">SUM(F104:J104)</f>
        <v>8893508.3379475512</v>
      </c>
      <c r="L104" s="414"/>
      <c r="M104" s="87"/>
      <c r="N104" s="87"/>
    </row>
    <row r="105" spans="1:15" x14ac:dyDescent="0.3">
      <c r="A105" s="6" t="s">
        <v>391</v>
      </c>
      <c r="F105" s="87">
        <f>F101-F104</f>
        <v>365266.48695406341</v>
      </c>
      <c r="G105" s="87">
        <f t="shared" ref="G105:J105" si="11">G101-G104</f>
        <v>427376.68891712604</v>
      </c>
      <c r="H105" s="87">
        <f t="shared" si="11"/>
        <v>441208.09978687065</v>
      </c>
      <c r="I105" s="87">
        <f t="shared" si="11"/>
        <v>441362.38934460399</v>
      </c>
      <c r="J105" s="87">
        <f t="shared" si="11"/>
        <v>434219.35182271712</v>
      </c>
      <c r="K105" s="551">
        <f t="shared" si="10"/>
        <v>2109433.0168253812</v>
      </c>
      <c r="L105" s="414"/>
      <c r="M105" s="87"/>
      <c r="N105" s="87"/>
      <c r="O105" s="245"/>
    </row>
    <row r="106" spans="1:15" x14ac:dyDescent="0.3">
      <c r="F106" s="87"/>
      <c r="G106" s="87"/>
      <c r="H106" s="87"/>
      <c r="I106" s="87"/>
      <c r="J106" s="87"/>
      <c r="K106" s="551"/>
      <c r="L106" s="414"/>
      <c r="M106" s="87"/>
      <c r="N106" s="87"/>
      <c r="O106" s="245"/>
    </row>
    <row r="107" spans="1:15" x14ac:dyDescent="0.3">
      <c r="A107" t="s">
        <v>392</v>
      </c>
      <c r="F107" s="87">
        <f>O26</f>
        <v>0</v>
      </c>
      <c r="G107" s="87">
        <f>P26</f>
        <v>0</v>
      </c>
      <c r="H107" s="87">
        <f>Q26</f>
        <v>0</v>
      </c>
      <c r="I107" s="87">
        <f>R26</f>
        <v>0</v>
      </c>
      <c r="J107" s="87">
        <f>S26</f>
        <v>0</v>
      </c>
      <c r="K107" s="551">
        <f t="shared" ref="K107:K108" si="12">SUM(F107:J107)</f>
        <v>0</v>
      </c>
      <c r="L107" s="414"/>
      <c r="M107" s="87"/>
      <c r="N107" s="87"/>
      <c r="O107" s="245"/>
    </row>
    <row r="108" spans="1:15" x14ac:dyDescent="0.3">
      <c r="A108" s="6" t="s">
        <v>393</v>
      </c>
      <c r="F108" s="87">
        <f>F104-F107</f>
        <v>1539987.5328526183</v>
      </c>
      <c r="G108" s="87">
        <f>G104-G107</f>
        <v>1801848.2293640492</v>
      </c>
      <c r="H108" s="87">
        <f>H104-H107</f>
        <v>1860162.3672932908</v>
      </c>
      <c r="I108" s="87"/>
      <c r="J108" s="87"/>
      <c r="K108" s="551">
        <f t="shared" si="12"/>
        <v>5201998.1295099584</v>
      </c>
      <c r="L108" s="414"/>
      <c r="M108" s="87"/>
      <c r="N108" s="87"/>
      <c r="O108" s="245"/>
    </row>
    <row r="109" spans="1:15" x14ac:dyDescent="0.3">
      <c r="F109" s="87"/>
      <c r="G109" s="87"/>
      <c r="H109" s="87"/>
      <c r="I109" s="87"/>
      <c r="J109" s="87"/>
      <c r="K109" s="551"/>
      <c r="L109" s="414"/>
      <c r="M109" s="87"/>
      <c r="N109" s="87"/>
      <c r="O109" s="245"/>
    </row>
    <row r="110" spans="1:15" x14ac:dyDescent="0.3">
      <c r="A110" s="6" t="s">
        <v>426</v>
      </c>
      <c r="F110" s="87"/>
      <c r="G110" s="87"/>
      <c r="H110" s="87"/>
      <c r="I110" s="87">
        <f>I104-I107</f>
        <v>1860812.8622164356</v>
      </c>
      <c r="J110" s="87">
        <f>J104-J107</f>
        <v>1830697.3462211583</v>
      </c>
      <c r="K110" s="551">
        <f>SUM(F110:J110)</f>
        <v>3691510.2084375937</v>
      </c>
      <c r="L110" s="414"/>
      <c r="M110" s="87"/>
      <c r="N110" s="87"/>
      <c r="O110" s="245"/>
    </row>
    <row r="112" spans="1:15" x14ac:dyDescent="0.3">
      <c r="N112" s="87"/>
    </row>
  </sheetData>
  <printOptions gridLines="1"/>
  <pageMargins left="0.31496062992125984" right="0.31496062992125984" top="0.35433070866141736" bottom="0.35433070866141736" header="0.31496062992125984" footer="0.31496062992125984"/>
  <pageSetup paperSize="8" scale="75" orientation="landscape" r:id="rId1"/>
  <ignoredErrors>
    <ignoredError sqref="U73:Z73 O73:S73 F73:J73" formulaRange="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workbookViewId="0">
      <selection activeCell="D19" sqref="D19:F19"/>
    </sheetView>
  </sheetViews>
  <sheetFormatPr defaultRowHeight="14.4" x14ac:dyDescent="0.3"/>
  <cols>
    <col min="1" max="1" width="44.6640625" customWidth="1"/>
    <col min="2" max="2" width="14.33203125" bestFit="1" customWidth="1"/>
    <col min="3" max="3" width="12" bestFit="1" customWidth="1"/>
    <col min="4" max="4" width="14.33203125" bestFit="1" customWidth="1"/>
    <col min="5" max="5" width="14.33203125" customWidth="1"/>
    <col min="6" max="6" width="14.33203125" bestFit="1" customWidth="1"/>
    <col min="7" max="7" width="14.33203125" customWidth="1"/>
    <col min="8" max="8" width="14.33203125" bestFit="1" customWidth="1"/>
    <col min="9" max="9" width="14.33203125" customWidth="1"/>
    <col min="10" max="10" width="14.33203125" bestFit="1" customWidth="1"/>
    <col min="11" max="11" width="14.33203125" customWidth="1"/>
    <col min="12" max="12" width="14.33203125" bestFit="1" customWidth="1"/>
    <col min="13" max="13" width="12" bestFit="1" customWidth="1"/>
  </cols>
  <sheetData>
    <row r="1" spans="1:13" x14ac:dyDescent="0.3">
      <c r="A1" s="5" t="s">
        <v>300</v>
      </c>
      <c r="B1" s="369" t="s">
        <v>301</v>
      </c>
      <c r="C1" s="369" t="s">
        <v>302</v>
      </c>
      <c r="D1" s="369" t="s">
        <v>303</v>
      </c>
      <c r="E1" s="369" t="s">
        <v>302</v>
      </c>
      <c r="F1" s="369" t="s">
        <v>304</v>
      </c>
      <c r="G1" s="369" t="s">
        <v>302</v>
      </c>
      <c r="H1" s="369" t="s">
        <v>305</v>
      </c>
      <c r="I1" s="369" t="s">
        <v>302</v>
      </c>
      <c r="J1" s="369" t="s">
        <v>306</v>
      </c>
      <c r="K1" s="369" t="s">
        <v>302</v>
      </c>
      <c r="L1" s="369" t="s">
        <v>307</v>
      </c>
      <c r="M1" s="369" t="s">
        <v>302</v>
      </c>
    </row>
    <row r="2" spans="1:13" x14ac:dyDescent="0.3">
      <c r="A2" t="s">
        <v>308</v>
      </c>
      <c r="B2" s="370">
        <v>2137823.1059999997</v>
      </c>
      <c r="C2" s="496"/>
      <c r="D2" s="107">
        <v>2025196.6678187749</v>
      </c>
      <c r="E2" s="490"/>
      <c r="F2" s="107">
        <v>1650325.1155138535</v>
      </c>
      <c r="G2" s="490"/>
      <c r="H2" s="107">
        <v>1578325.1155138535</v>
      </c>
      <c r="I2" s="490"/>
      <c r="J2" s="107">
        <v>1584325.1155138535</v>
      </c>
      <c r="K2" s="489"/>
      <c r="L2" s="370">
        <v>1584325.1155138535</v>
      </c>
      <c r="M2" s="489"/>
    </row>
    <row r="3" spans="1:13" x14ac:dyDescent="0.3">
      <c r="A3" t="s">
        <v>309</v>
      </c>
      <c r="B3" s="370">
        <v>433428.58382381761</v>
      </c>
      <c r="C3" s="496"/>
      <c r="D3" s="107">
        <v>433428.58382381761</v>
      </c>
      <c r="E3" s="490"/>
      <c r="F3" s="107">
        <v>433428.58382381761</v>
      </c>
      <c r="G3" s="490"/>
      <c r="H3" s="107">
        <v>448429.18382381764</v>
      </c>
      <c r="I3" s="490"/>
      <c r="J3" s="107">
        <v>513427.78382381762</v>
      </c>
      <c r="K3" s="490"/>
      <c r="L3" s="370">
        <v>513427.78382381762</v>
      </c>
      <c r="M3" s="490"/>
    </row>
    <row r="4" spans="1:13" x14ac:dyDescent="0.3">
      <c r="A4" t="s">
        <v>310</v>
      </c>
      <c r="B4" s="370">
        <v>1124303.3325481103</v>
      </c>
      <c r="C4" s="496"/>
      <c r="D4" s="107">
        <v>1124303.3325481103</v>
      </c>
      <c r="E4" s="490"/>
      <c r="F4" s="107">
        <v>715517.79886439233</v>
      </c>
      <c r="G4" s="490"/>
      <c r="H4" s="107">
        <v>619510.48768063262</v>
      </c>
      <c r="I4" s="490"/>
      <c r="J4" s="107">
        <v>619510.48768063262</v>
      </c>
      <c r="K4" s="490"/>
      <c r="L4" s="370">
        <v>619510.48768063262</v>
      </c>
      <c r="M4" s="490"/>
    </row>
    <row r="5" spans="1:13" x14ac:dyDescent="0.3">
      <c r="A5" t="s">
        <v>311</v>
      </c>
      <c r="B5" s="370">
        <v>210807.69230769231</v>
      </c>
      <c r="C5" s="496"/>
      <c r="D5" s="107">
        <v>783000</v>
      </c>
      <c r="E5" s="490"/>
      <c r="F5" s="107">
        <v>54000</v>
      </c>
      <c r="G5" s="490"/>
      <c r="H5" s="370">
        <v>0</v>
      </c>
      <c r="I5" s="491"/>
      <c r="J5" s="370">
        <v>0</v>
      </c>
      <c r="K5" s="491"/>
      <c r="L5" s="370">
        <v>0</v>
      </c>
      <c r="M5" s="491"/>
    </row>
    <row r="6" spans="1:13" x14ac:dyDescent="0.3">
      <c r="A6" t="s">
        <v>312</v>
      </c>
      <c r="B6" s="370">
        <v>0</v>
      </c>
      <c r="C6" s="496"/>
      <c r="D6" s="107">
        <v>285342.6205093686</v>
      </c>
      <c r="E6" s="490"/>
      <c r="F6" s="107">
        <v>432014.85197176319</v>
      </c>
      <c r="G6" s="490"/>
      <c r="H6" s="107">
        <v>432014.85197176319</v>
      </c>
      <c r="I6" s="490"/>
      <c r="J6" s="107">
        <v>432014.85197176319</v>
      </c>
      <c r="K6" s="490"/>
      <c r="L6" s="370">
        <v>432014.85197176319</v>
      </c>
      <c r="M6" s="490"/>
    </row>
    <row r="7" spans="1:13" x14ac:dyDescent="0.3">
      <c r="A7" t="s">
        <v>313</v>
      </c>
      <c r="B7" s="370">
        <v>196747.09505106119</v>
      </c>
      <c r="C7" s="496"/>
      <c r="D7" s="107">
        <v>196747.09505106119</v>
      </c>
      <c r="E7" s="490"/>
      <c r="F7" s="107">
        <v>211998.07078022641</v>
      </c>
      <c r="G7" s="490"/>
      <c r="H7" s="107">
        <v>354997.02386539616</v>
      </c>
      <c r="I7" s="490"/>
      <c r="J7" s="107">
        <v>423996.14156045282</v>
      </c>
      <c r="K7" s="490"/>
      <c r="L7" s="107">
        <v>513427.78382381762</v>
      </c>
      <c r="M7" s="490"/>
    </row>
    <row r="8" spans="1:13" x14ac:dyDescent="0.3">
      <c r="A8" t="s">
        <v>314</v>
      </c>
      <c r="B8" s="370">
        <v>0</v>
      </c>
      <c r="C8" s="496"/>
      <c r="D8" s="107">
        <v>58500</v>
      </c>
      <c r="E8" s="490"/>
      <c r="F8" s="107">
        <v>78000</v>
      </c>
      <c r="G8" s="490"/>
      <c r="H8" s="107">
        <v>136500</v>
      </c>
      <c r="I8" s="490"/>
      <c r="J8" s="107">
        <v>156000</v>
      </c>
      <c r="K8" s="490"/>
      <c r="L8" s="107">
        <v>156000</v>
      </c>
      <c r="M8" s="490"/>
    </row>
    <row r="9" spans="1:13" x14ac:dyDescent="0.3">
      <c r="A9" t="s">
        <v>315</v>
      </c>
      <c r="B9" s="370">
        <v>264927.93777789245</v>
      </c>
      <c r="C9" s="496"/>
      <c r="D9" s="107">
        <v>264927.93777789245</v>
      </c>
      <c r="E9" s="490"/>
      <c r="F9" s="107">
        <v>241292.90666683862</v>
      </c>
      <c r="G9" s="490"/>
      <c r="H9" s="107">
        <v>221293.70666683864</v>
      </c>
      <c r="I9" s="490"/>
      <c r="J9" s="107">
        <v>233927.53777789243</v>
      </c>
      <c r="K9" s="490"/>
      <c r="L9" s="107">
        <v>233927.53777789243</v>
      </c>
      <c r="M9" s="490"/>
    </row>
    <row r="10" spans="1:13" ht="15" thickBot="1" x14ac:dyDescent="0.35">
      <c r="A10" t="s">
        <v>316</v>
      </c>
      <c r="B10" s="370">
        <v>180000</v>
      </c>
      <c r="C10" s="496"/>
      <c r="D10" s="107">
        <v>135000</v>
      </c>
      <c r="E10" s="490"/>
      <c r="F10" s="107">
        <v>110700</v>
      </c>
      <c r="G10" s="490"/>
      <c r="H10" s="107">
        <v>205200</v>
      </c>
      <c r="I10" s="490"/>
      <c r="J10" s="107">
        <v>239400</v>
      </c>
      <c r="K10" s="490"/>
      <c r="L10" s="107">
        <v>239400</v>
      </c>
      <c r="M10" s="490"/>
    </row>
    <row r="11" spans="1:13" ht="15" thickBot="1" x14ac:dyDescent="0.35">
      <c r="A11" s="371" t="s">
        <v>153</v>
      </c>
      <c r="B11" s="372">
        <f>SUM(B2:B10)</f>
        <v>4548037.7475085743</v>
      </c>
      <c r="C11" s="497"/>
      <c r="D11" s="372">
        <f>SUM(D2:D10)</f>
        <v>5306446.2375290254</v>
      </c>
      <c r="E11" s="494"/>
      <c r="F11" s="372">
        <f t="shared" ref="F11:L11" si="0">SUM(F2:F10)</f>
        <v>3927277.3276208914</v>
      </c>
      <c r="G11" s="494"/>
      <c r="H11" s="372">
        <f t="shared" si="0"/>
        <v>3996270.3695223019</v>
      </c>
      <c r="I11" s="494"/>
      <c r="J11" s="372">
        <f t="shared" si="0"/>
        <v>4202601.9183284119</v>
      </c>
      <c r="K11" s="494"/>
      <c r="L11" s="372">
        <f t="shared" si="0"/>
        <v>4292033.5605917769</v>
      </c>
      <c r="M11" s="492"/>
    </row>
    <row r="12" spans="1:13" ht="15" thickBot="1" x14ac:dyDescent="0.35">
      <c r="A12" t="s">
        <v>317</v>
      </c>
      <c r="B12" s="370">
        <f>B2+B3+B4+B6+B7+B8+B9+B10</f>
        <v>4337230.0552008813</v>
      </c>
      <c r="C12" s="491"/>
      <c r="D12" s="370">
        <f>D2+D3+D4+D6+D7+D8+D9+D10</f>
        <v>4523446.2375290254</v>
      </c>
      <c r="E12" s="491"/>
      <c r="F12" s="370">
        <f t="shared" ref="F12:L12" si="1">F2+F3+F4+F6+F7+F8+F9+F10</f>
        <v>3873277.3276208914</v>
      </c>
      <c r="G12" s="491"/>
      <c r="H12" s="370">
        <f t="shared" si="1"/>
        <v>3996270.3695223019</v>
      </c>
      <c r="I12" s="491"/>
      <c r="J12" s="370">
        <f t="shared" si="1"/>
        <v>4202601.9183284119</v>
      </c>
      <c r="K12" s="491"/>
      <c r="L12" s="370">
        <f t="shared" si="1"/>
        <v>4292033.5605917769</v>
      </c>
      <c r="M12" s="491"/>
    </row>
    <row r="13" spans="1:13" ht="15" thickBot="1" x14ac:dyDescent="0.35">
      <c r="A13" s="373" t="s">
        <v>318</v>
      </c>
      <c r="B13" s="374">
        <f>B2+B3+B4+B7+B8+B9+B10</f>
        <v>4337230.0552008813</v>
      </c>
      <c r="C13" s="495"/>
      <c r="D13" s="374">
        <f>D2+D3+D4+D7+D8+D9+D10</f>
        <v>4238103.617019657</v>
      </c>
      <c r="E13" s="495"/>
      <c r="F13" s="374">
        <f t="shared" ref="F13:L13" si="2">F2+F3+F4+F7+F8+F9+F10</f>
        <v>3441262.4756491282</v>
      </c>
      <c r="G13" s="495"/>
      <c r="H13" s="374">
        <f t="shared" si="2"/>
        <v>3564255.5175505388</v>
      </c>
      <c r="I13" s="495"/>
      <c r="J13" s="374">
        <f t="shared" si="2"/>
        <v>3770587.0663566492</v>
      </c>
      <c r="K13" s="495"/>
      <c r="L13" s="374">
        <f t="shared" si="2"/>
        <v>3860018.7086200137</v>
      </c>
      <c r="M13" s="493"/>
    </row>
    <row r="14" spans="1:13" x14ac:dyDescent="0.3">
      <c r="B14" s="107"/>
    </row>
    <row r="18" spans="1:4" x14ac:dyDescent="0.3">
      <c r="A18" s="73" t="s">
        <v>324</v>
      </c>
    </row>
    <row r="19" spans="1:4" ht="57.6" x14ac:dyDescent="0.3">
      <c r="A19" s="73" t="s">
        <v>319</v>
      </c>
      <c r="D19" s="107"/>
    </row>
    <row r="20" spans="1:4" x14ac:dyDescent="0.3">
      <c r="A20" s="73" t="s">
        <v>320</v>
      </c>
    </row>
    <row r="21" spans="1:4" ht="28.8" x14ac:dyDescent="0.3">
      <c r="A21" s="73" t="s">
        <v>325</v>
      </c>
    </row>
    <row r="22" spans="1:4" ht="57.6" x14ac:dyDescent="0.3">
      <c r="A22" s="73" t="s">
        <v>326</v>
      </c>
    </row>
    <row r="23" spans="1:4" x14ac:dyDescent="0.3">
      <c r="A23" s="73"/>
    </row>
    <row r="24" spans="1:4" x14ac:dyDescent="0.3">
      <c r="A24" s="73"/>
    </row>
  </sheetData>
  <pageMargins left="0.25" right="0.25" top="0.75" bottom="0.75" header="0.3" footer="0.3"/>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Overview</vt:lpstr>
      <vt:lpstr>Summary</vt:lpstr>
      <vt:lpstr>Calc</vt:lpstr>
      <vt:lpstr>Vol special meter read</vt:lpstr>
      <vt:lpstr>LG Invoices list</vt:lpstr>
      <vt:lpstr>Meter replacement volume</vt:lpstr>
      <vt:lpstr>New connections</vt:lpstr>
      <vt:lpstr>IT &amp; Comms opex revised</vt:lpstr>
      <vt:lpstr>Meter data management</vt:lpstr>
      <vt:lpstr>Meter Reading</vt:lpstr>
      <vt:lpstr>SUMMARY MR</vt:lpstr>
      <vt:lpstr>Actuals + Forecasts</vt:lpstr>
      <vt:lpstr>Resources</vt:lpstr>
      <vt:lpstr>MCFO Work</vt:lpstr>
      <vt:lpstr>Meter Asset Management</vt:lpstr>
    </vt:vector>
  </TitlesOfParts>
  <Company>SP-Ausnet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 Kwan See Toh</dc:creator>
  <cp:lastModifiedBy>Mei Kwan See Toh</cp:lastModifiedBy>
  <cp:lastPrinted>2015-12-17T06:50:05Z</cp:lastPrinted>
  <dcterms:created xsi:type="dcterms:W3CDTF">2015-03-26T09:42:08Z</dcterms:created>
  <dcterms:modified xsi:type="dcterms:W3CDTF">2016-01-05T06:42:57Z</dcterms:modified>
</cp:coreProperties>
</file>