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19200" windowHeight="5700" tabRatio="883" activeTab="3"/>
  </bookViews>
  <sheets>
    <sheet name="All works" sheetId="5" r:id="rId1"/>
    <sheet name="Summary" sheetId="19" r:id="rId2"/>
    <sheet name="Phasing" sheetId="20" r:id="rId3"/>
    <sheet name="KLO_Det" sheetId="25" r:id="rId4"/>
    <sheet name="Spare_Det" sheetId="22" r:id="rId5"/>
    <sheet name="#IR004A &amp; CY2020" sheetId="26" r:id="rId6"/>
    <sheet name="Unit_Rates" sheetId="10" r:id="rId7"/>
    <sheet name="Unit_Rates - $2015" sheetId="11" r:id="rId8"/>
    <sheet name="Escalators" sheetId="7" r:id="rId9"/>
    <sheet name="Lab_Rates" sheetId="8" r:id="rId10"/>
    <sheet name="Rpt_Cat" sheetId="9" r:id="rId11"/>
  </sheets>
  <externalReferences>
    <externalReference r:id="rId12"/>
  </externalReferences>
  <definedNames>
    <definedName name="_xlnm.Print_Area" localSheetId="3">KLO_Det!$A$2:$P$126</definedName>
    <definedName name="_xlnm.Print_Area" localSheetId="4">Spare_Det!$A$2:$P$105</definedName>
    <definedName name="STN_1">Rpt_Cat!$C$13</definedName>
    <definedName name="STN_10">Rpt_Cat!$C$16</definedName>
    <definedName name="STN_2">Rpt_Cat!$C$14</definedName>
    <definedName name="STN_3">Rpt_Cat!$C$15</definedName>
    <definedName name="STN_4">Rpt_Cat!$C$16</definedName>
    <definedName name="STN_5">Rpt_Cat!$C$17</definedName>
    <definedName name="STN_6">Rpt_Cat!$C$18</definedName>
    <definedName name="STN_7">Rpt_Cat!$C$19</definedName>
    <definedName name="STN_8">Rpt_Cat!$C$20</definedName>
    <definedName name="STN_9">Rpt_Cat!$C$21</definedName>
    <definedName name="Thousands">Escalators!$C$46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26" l="1"/>
  <c r="G14" i="26"/>
  <c r="F14" i="26"/>
  <c r="E14" i="26"/>
  <c r="D14" i="26"/>
  <c r="D25" i="19"/>
  <c r="D24" i="19"/>
  <c r="C119" i="22"/>
  <c r="B80" i="22"/>
  <c r="D16" i="26"/>
  <c r="E16" i="26"/>
  <c r="F16" i="26"/>
  <c r="G16" i="26"/>
  <c r="H16" i="26"/>
  <c r="I16" i="26"/>
  <c r="D17" i="25"/>
  <c r="E17" i="25"/>
  <c r="F17" i="25"/>
  <c r="D18" i="25"/>
  <c r="E18" i="25"/>
  <c r="F18" i="25"/>
  <c r="D19" i="25"/>
  <c r="E19" i="25"/>
  <c r="F19" i="25"/>
  <c r="D20" i="25"/>
  <c r="E20" i="25"/>
  <c r="F20" i="25"/>
  <c r="D21" i="25"/>
  <c r="E21" i="25"/>
  <c r="F21" i="25"/>
  <c r="D22" i="25"/>
  <c r="E22" i="25"/>
  <c r="F22" i="25"/>
  <c r="D23" i="25"/>
  <c r="E23" i="25"/>
  <c r="F23" i="25"/>
  <c r="D24" i="25"/>
  <c r="E24" i="25"/>
  <c r="F24" i="25"/>
  <c r="D25" i="25"/>
  <c r="E25" i="25"/>
  <c r="F25" i="25"/>
  <c r="D26" i="25"/>
  <c r="E26" i="25"/>
  <c r="F26" i="25"/>
  <c r="D27" i="25"/>
  <c r="E27" i="25"/>
  <c r="F27" i="25"/>
  <c r="D28" i="25"/>
  <c r="E28" i="25"/>
  <c r="F28" i="25"/>
  <c r="D30" i="25"/>
  <c r="E30" i="25"/>
  <c r="F30" i="25"/>
  <c r="D31" i="25"/>
  <c r="E31" i="25"/>
  <c r="F31" i="25"/>
  <c r="D32" i="25"/>
  <c r="E32" i="25"/>
  <c r="F32" i="25"/>
  <c r="D33" i="25"/>
  <c r="E33" i="25"/>
  <c r="F33" i="25"/>
  <c r="D34" i="25"/>
  <c r="E34" i="25"/>
  <c r="F34" i="25"/>
  <c r="D35" i="25"/>
  <c r="E35" i="25"/>
  <c r="F35" i="25"/>
  <c r="D36" i="25"/>
  <c r="E36" i="25"/>
  <c r="F36" i="25"/>
  <c r="D37" i="25"/>
  <c r="E37" i="25"/>
  <c r="F37" i="25"/>
  <c r="D38" i="25"/>
  <c r="E38" i="25"/>
  <c r="F38" i="25"/>
  <c r="D39" i="25"/>
  <c r="E39" i="25"/>
  <c r="F39" i="25"/>
  <c r="D40" i="25"/>
  <c r="E40" i="25"/>
  <c r="F40" i="25"/>
  <c r="D41" i="25"/>
  <c r="E41" i="25"/>
  <c r="F41" i="25"/>
  <c r="D42" i="25"/>
  <c r="E42" i="25"/>
  <c r="F42" i="25"/>
  <c r="D43" i="25"/>
  <c r="E43" i="25"/>
  <c r="F43" i="25"/>
  <c r="D44" i="25"/>
  <c r="E44" i="25"/>
  <c r="F44" i="25"/>
  <c r="D45" i="25"/>
  <c r="E45" i="25"/>
  <c r="F45" i="25"/>
  <c r="D46" i="25"/>
  <c r="E46" i="25"/>
  <c r="F46" i="25"/>
  <c r="D47" i="25"/>
  <c r="E47" i="25"/>
  <c r="F47" i="25"/>
  <c r="D48" i="25"/>
  <c r="E48" i="25"/>
  <c r="F48" i="25"/>
  <c r="D49" i="25"/>
  <c r="E49" i="25"/>
  <c r="F49" i="25"/>
  <c r="D50" i="25"/>
  <c r="E50" i="25"/>
  <c r="F50" i="25"/>
  <c r="D51" i="25"/>
  <c r="E51" i="25"/>
  <c r="F51" i="25"/>
  <c r="D53" i="25"/>
  <c r="E53" i="25"/>
  <c r="F53" i="25"/>
  <c r="D54" i="25"/>
  <c r="E54" i="25"/>
  <c r="F54" i="25"/>
  <c r="D57" i="25"/>
  <c r="E57" i="25"/>
  <c r="F57" i="25"/>
  <c r="D58" i="25"/>
  <c r="E58" i="25"/>
  <c r="F58" i="25"/>
  <c r="D59" i="25"/>
  <c r="E59" i="25"/>
  <c r="F59" i="25"/>
  <c r="D60" i="25"/>
  <c r="E60" i="25"/>
  <c r="F60" i="25"/>
  <c r="D61" i="25"/>
  <c r="E61" i="25"/>
  <c r="F61" i="25"/>
  <c r="D62" i="25"/>
  <c r="E62" i="25"/>
  <c r="F62" i="25"/>
  <c r="D63" i="25"/>
  <c r="E63" i="25"/>
  <c r="F63" i="25"/>
  <c r="D64" i="25"/>
  <c r="E64" i="25"/>
  <c r="F64" i="25"/>
  <c r="G17" i="25"/>
  <c r="K17" i="25"/>
  <c r="G18" i="25"/>
  <c r="K18" i="25"/>
  <c r="G19" i="25"/>
  <c r="K19" i="25"/>
  <c r="G20" i="25"/>
  <c r="K20" i="25"/>
  <c r="G21" i="25"/>
  <c r="K21" i="25"/>
  <c r="G22" i="25"/>
  <c r="K22" i="25"/>
  <c r="G23" i="25"/>
  <c r="K23" i="25"/>
  <c r="G24" i="25"/>
  <c r="K24" i="25"/>
  <c r="G25" i="25"/>
  <c r="K25" i="25"/>
  <c r="G26" i="25"/>
  <c r="K26" i="25"/>
  <c r="G27" i="25"/>
  <c r="K27" i="25"/>
  <c r="G28" i="25"/>
  <c r="K28" i="25"/>
  <c r="G30" i="25"/>
  <c r="K30" i="25"/>
  <c r="G31" i="25"/>
  <c r="K31" i="25"/>
  <c r="G32" i="25"/>
  <c r="K32" i="25"/>
  <c r="G33" i="25"/>
  <c r="K33" i="25"/>
  <c r="G34" i="25"/>
  <c r="K34" i="25"/>
  <c r="G35" i="25"/>
  <c r="K35" i="25"/>
  <c r="G36" i="25"/>
  <c r="K36" i="25"/>
  <c r="G37" i="25"/>
  <c r="K37" i="25"/>
  <c r="G38" i="25"/>
  <c r="K38" i="25"/>
  <c r="G39" i="25"/>
  <c r="K39" i="25"/>
  <c r="G40" i="25"/>
  <c r="K40" i="25"/>
  <c r="G41" i="25"/>
  <c r="K41" i="25"/>
  <c r="G42" i="25"/>
  <c r="K42" i="25"/>
  <c r="G43" i="25"/>
  <c r="K43" i="25"/>
  <c r="G44" i="25"/>
  <c r="K44" i="25"/>
  <c r="G45" i="25"/>
  <c r="K45" i="25"/>
  <c r="G46" i="25"/>
  <c r="K46" i="25"/>
  <c r="G47" i="25"/>
  <c r="K47" i="25"/>
  <c r="G48" i="25"/>
  <c r="K48" i="25"/>
  <c r="G49" i="25"/>
  <c r="K49" i="25"/>
  <c r="G51" i="25"/>
  <c r="K51" i="25"/>
  <c r="G53" i="25"/>
  <c r="K53" i="25"/>
  <c r="G57" i="25"/>
  <c r="K57" i="25"/>
  <c r="G58" i="25"/>
  <c r="K58" i="25"/>
  <c r="G59" i="25"/>
  <c r="K59" i="25"/>
  <c r="G60" i="25"/>
  <c r="K60" i="25"/>
  <c r="G61" i="25"/>
  <c r="K61" i="25"/>
  <c r="G62" i="25"/>
  <c r="K62" i="25"/>
  <c r="G63" i="25"/>
  <c r="K63" i="25"/>
  <c r="G64" i="25"/>
  <c r="K64" i="25"/>
  <c r="G66" i="25"/>
  <c r="K66" i="25"/>
  <c r="F29" i="25"/>
  <c r="D14" i="19"/>
  <c r="H14" i="19"/>
  <c r="I14" i="19"/>
  <c r="D7" i="19"/>
  <c r="H7" i="19"/>
  <c r="I7" i="19"/>
  <c r="D85" i="25"/>
  <c r="E85" i="25"/>
  <c r="F85" i="25"/>
  <c r="D86" i="25"/>
  <c r="E86" i="25"/>
  <c r="F86" i="25"/>
  <c r="D87" i="25"/>
  <c r="E87" i="25"/>
  <c r="F87" i="25"/>
  <c r="D89" i="25"/>
  <c r="E89" i="25"/>
  <c r="F89" i="25"/>
  <c r="D90" i="25"/>
  <c r="E90" i="25"/>
  <c r="F90" i="25"/>
  <c r="D92" i="25"/>
  <c r="E92" i="25"/>
  <c r="F92" i="25"/>
  <c r="D96" i="25"/>
  <c r="E96" i="25"/>
  <c r="F96" i="25"/>
  <c r="D97" i="25"/>
  <c r="E97" i="25"/>
  <c r="F97" i="25"/>
  <c r="D98" i="25"/>
  <c r="E98" i="25"/>
  <c r="F98" i="25"/>
  <c r="D99" i="25"/>
  <c r="E99" i="25"/>
  <c r="F99" i="25"/>
  <c r="D100" i="25"/>
  <c r="E100" i="25"/>
  <c r="F100" i="25"/>
  <c r="G85" i="25"/>
  <c r="K85" i="25"/>
  <c r="G86" i="25"/>
  <c r="K86" i="25"/>
  <c r="G87" i="25"/>
  <c r="K87" i="25"/>
  <c r="G89" i="25"/>
  <c r="K89" i="25"/>
  <c r="G90" i="25"/>
  <c r="K90" i="25"/>
  <c r="G92" i="25"/>
  <c r="K92" i="25"/>
  <c r="G96" i="25"/>
  <c r="K96" i="25"/>
  <c r="G97" i="25"/>
  <c r="K97" i="25"/>
  <c r="G98" i="25"/>
  <c r="K98" i="25"/>
  <c r="G99" i="25"/>
  <c r="K99" i="25"/>
  <c r="G100" i="25"/>
  <c r="K100" i="25"/>
  <c r="D105" i="25"/>
  <c r="E105" i="25"/>
  <c r="F105" i="25"/>
  <c r="D106" i="25"/>
  <c r="E106" i="25"/>
  <c r="F106" i="25"/>
  <c r="D107" i="25"/>
  <c r="E107" i="25"/>
  <c r="F107" i="25"/>
  <c r="D109" i="25"/>
  <c r="E109" i="25"/>
  <c r="F109" i="25"/>
  <c r="D110" i="25"/>
  <c r="E110" i="25"/>
  <c r="F110" i="25"/>
  <c r="D112" i="25"/>
  <c r="E112" i="25"/>
  <c r="F112" i="25"/>
  <c r="D116" i="25"/>
  <c r="E116" i="25"/>
  <c r="F116" i="25"/>
  <c r="D117" i="25"/>
  <c r="E117" i="25"/>
  <c r="F117" i="25"/>
  <c r="D118" i="25"/>
  <c r="E118" i="25"/>
  <c r="F118" i="25"/>
  <c r="D119" i="25"/>
  <c r="E119" i="25"/>
  <c r="F119" i="25"/>
  <c r="D120" i="25"/>
  <c r="E120" i="25"/>
  <c r="F120" i="25"/>
  <c r="G105" i="25"/>
  <c r="K105" i="25"/>
  <c r="G106" i="25"/>
  <c r="K106" i="25"/>
  <c r="G107" i="25"/>
  <c r="K107" i="25"/>
  <c r="G109" i="25"/>
  <c r="K109" i="25"/>
  <c r="G110" i="25"/>
  <c r="K110" i="25"/>
  <c r="G112" i="25"/>
  <c r="K112" i="25"/>
  <c r="G116" i="25"/>
  <c r="K116" i="25"/>
  <c r="G117" i="25"/>
  <c r="K117" i="25"/>
  <c r="G118" i="25"/>
  <c r="K118" i="25"/>
  <c r="G119" i="25"/>
  <c r="K119" i="25"/>
  <c r="G120" i="25"/>
  <c r="K120" i="25"/>
  <c r="D5" i="19"/>
  <c r="H5" i="19"/>
  <c r="I5" i="19"/>
  <c r="AI100" i="25"/>
  <c r="R100" i="25"/>
  <c r="S100" i="25"/>
  <c r="T100" i="25"/>
  <c r="L100" i="25"/>
  <c r="M100" i="25"/>
  <c r="AI120" i="25"/>
  <c r="R120" i="25"/>
  <c r="S120" i="25"/>
  <c r="T120" i="25"/>
  <c r="L120" i="25"/>
  <c r="M120" i="25"/>
  <c r="D6" i="19"/>
  <c r="H6" i="19"/>
  <c r="I6" i="19"/>
  <c r="D13" i="19"/>
  <c r="H13" i="19"/>
  <c r="I13" i="19"/>
  <c r="F14" i="19"/>
  <c r="G14" i="19"/>
  <c r="F7" i="19"/>
  <c r="G7" i="19"/>
  <c r="F5" i="19"/>
  <c r="G5" i="19"/>
  <c r="F6" i="19"/>
  <c r="G6" i="19"/>
  <c r="F13" i="19"/>
  <c r="G13" i="19"/>
  <c r="D8" i="19"/>
  <c r="F8" i="19"/>
  <c r="E5" i="19"/>
  <c r="E6" i="19"/>
  <c r="E13" i="19"/>
  <c r="E7" i="19"/>
  <c r="E14" i="19"/>
  <c r="D12" i="19"/>
  <c r="E12" i="19"/>
  <c r="C5" i="5"/>
  <c r="C15" i="5"/>
  <c r="F12" i="19"/>
  <c r="D5" i="5"/>
  <c r="G12" i="19"/>
  <c r="E5" i="5"/>
  <c r="D15" i="5"/>
  <c r="H12" i="19"/>
  <c r="F5" i="5"/>
  <c r="I12" i="19"/>
  <c r="G5" i="5"/>
  <c r="E15" i="5"/>
  <c r="J5" i="19"/>
  <c r="J12" i="19"/>
  <c r="H5" i="5"/>
  <c r="K5" i="19"/>
  <c r="K12" i="19"/>
  <c r="I5" i="5"/>
  <c r="F15" i="5"/>
  <c r="L5" i="19"/>
  <c r="L12" i="19"/>
  <c r="J5" i="5"/>
  <c r="M5" i="19"/>
  <c r="M12" i="19"/>
  <c r="K5" i="5"/>
  <c r="G15" i="5"/>
  <c r="N5" i="19"/>
  <c r="N12" i="19"/>
  <c r="L5" i="5"/>
  <c r="O5" i="19"/>
  <c r="O12" i="19"/>
  <c r="M5" i="5"/>
  <c r="H15" i="5"/>
  <c r="I15" i="5"/>
  <c r="C6" i="5"/>
  <c r="C16" i="5"/>
  <c r="D6" i="5"/>
  <c r="E6" i="5"/>
  <c r="D16" i="5"/>
  <c r="F6" i="5"/>
  <c r="G6" i="5"/>
  <c r="E16" i="5"/>
  <c r="J6" i="19"/>
  <c r="J13" i="19"/>
  <c r="H6" i="5"/>
  <c r="K6" i="19"/>
  <c r="K13" i="19"/>
  <c r="I6" i="5"/>
  <c r="F16" i="5"/>
  <c r="L6" i="19"/>
  <c r="L13" i="19"/>
  <c r="J6" i="5"/>
  <c r="M6" i="19"/>
  <c r="M13" i="19"/>
  <c r="K6" i="5"/>
  <c r="G16" i="5"/>
  <c r="N6" i="19"/>
  <c r="N13" i="19"/>
  <c r="L6" i="5"/>
  <c r="O6" i="19"/>
  <c r="O13" i="19"/>
  <c r="M6" i="5"/>
  <c r="H16" i="5"/>
  <c r="I16" i="5"/>
  <c r="C7" i="5"/>
  <c r="C17" i="5"/>
  <c r="D7" i="5"/>
  <c r="E7" i="5"/>
  <c r="D17" i="5"/>
  <c r="F7" i="5"/>
  <c r="G7" i="5"/>
  <c r="E17" i="5"/>
  <c r="J7" i="19"/>
  <c r="J14" i="19"/>
  <c r="H7" i="5"/>
  <c r="K7" i="19"/>
  <c r="K14" i="19"/>
  <c r="I7" i="5"/>
  <c r="F17" i="5"/>
  <c r="L7" i="19"/>
  <c r="L14" i="19"/>
  <c r="J7" i="5"/>
  <c r="M7" i="19"/>
  <c r="M14" i="19"/>
  <c r="K7" i="5"/>
  <c r="G17" i="5"/>
  <c r="N7" i="19"/>
  <c r="N14" i="19"/>
  <c r="L7" i="5"/>
  <c r="O7" i="19"/>
  <c r="O14" i="19"/>
  <c r="M7" i="5"/>
  <c r="H17" i="5"/>
  <c r="I17" i="5"/>
  <c r="D8" i="5"/>
  <c r="D18" i="5"/>
  <c r="I18" i="5"/>
  <c r="I19" i="5"/>
  <c r="H19" i="5"/>
  <c r="G19" i="5"/>
  <c r="F19" i="5"/>
  <c r="E19" i="5"/>
  <c r="D19" i="5"/>
  <c r="C19" i="5"/>
  <c r="G17" i="22"/>
  <c r="K17" i="22"/>
  <c r="G18" i="22"/>
  <c r="K18" i="22"/>
  <c r="G19" i="22"/>
  <c r="K19" i="22"/>
  <c r="G20" i="22"/>
  <c r="K20" i="22"/>
  <c r="G21" i="22"/>
  <c r="K21" i="22"/>
  <c r="G22" i="22"/>
  <c r="K22" i="22"/>
  <c r="G23" i="22"/>
  <c r="K23" i="22"/>
  <c r="G24" i="22"/>
  <c r="K24" i="22"/>
  <c r="G25" i="22"/>
  <c r="K25" i="22"/>
  <c r="G26" i="22"/>
  <c r="K26" i="22"/>
  <c r="G27" i="22"/>
  <c r="K27" i="22"/>
  <c r="G28" i="22"/>
  <c r="K28" i="22"/>
  <c r="G29" i="22"/>
  <c r="K29" i="22"/>
  <c r="G30" i="22"/>
  <c r="K30" i="22"/>
  <c r="G31" i="22"/>
  <c r="K31" i="22"/>
  <c r="G32" i="22"/>
  <c r="K32" i="22"/>
  <c r="G33" i="22"/>
  <c r="K33" i="22"/>
  <c r="G34" i="22"/>
  <c r="K34" i="22"/>
  <c r="G35" i="22"/>
  <c r="K35" i="22"/>
  <c r="G36" i="22"/>
  <c r="K36" i="22"/>
  <c r="G37" i="22"/>
  <c r="K37" i="22"/>
  <c r="G38" i="22"/>
  <c r="K38" i="22"/>
  <c r="G39" i="22"/>
  <c r="K39" i="22"/>
  <c r="G40" i="22"/>
  <c r="K40" i="22"/>
  <c r="G41" i="22"/>
  <c r="K41" i="22"/>
  <c r="G42" i="22"/>
  <c r="K42" i="22"/>
  <c r="G43" i="22"/>
  <c r="K43" i="22"/>
  <c r="G44" i="22"/>
  <c r="K44" i="22"/>
  <c r="G45" i="22"/>
  <c r="K45" i="22"/>
  <c r="G46" i="22"/>
  <c r="K46" i="22"/>
  <c r="G47" i="22"/>
  <c r="K47" i="22"/>
  <c r="G49" i="22"/>
  <c r="K49" i="22"/>
  <c r="G51" i="22"/>
  <c r="K51" i="22"/>
  <c r="G55" i="22"/>
  <c r="K55" i="22"/>
  <c r="G56" i="22"/>
  <c r="K56" i="22"/>
  <c r="G57" i="22"/>
  <c r="K57" i="22"/>
  <c r="G58" i="22"/>
  <c r="K58" i="22"/>
  <c r="G59" i="22"/>
  <c r="K59" i="22"/>
  <c r="G60" i="22"/>
  <c r="K60" i="22"/>
  <c r="G62" i="22"/>
  <c r="K62" i="22"/>
  <c r="K75" i="22"/>
  <c r="G88" i="22"/>
  <c r="K88" i="22"/>
  <c r="G89" i="22"/>
  <c r="K89" i="22"/>
  <c r="G91" i="22"/>
  <c r="K91" i="22"/>
  <c r="K92" i="22"/>
  <c r="G81" i="22"/>
  <c r="K81" i="22"/>
  <c r="G83" i="22"/>
  <c r="K83" i="22"/>
  <c r="K84" i="22"/>
  <c r="K94" i="22"/>
  <c r="K96" i="22"/>
  <c r="E21" i="19"/>
  <c r="R90" i="22"/>
  <c r="S90" i="22"/>
  <c r="T90" i="22"/>
  <c r="L90" i="22"/>
  <c r="L92" i="22"/>
  <c r="R82" i="22"/>
  <c r="S82" i="22"/>
  <c r="T82" i="22"/>
  <c r="L82" i="22"/>
  <c r="L84" i="22"/>
  <c r="L94" i="22"/>
  <c r="L96" i="22"/>
  <c r="F21" i="19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9" i="22"/>
  <c r="N51" i="22"/>
  <c r="N52" i="22"/>
  <c r="N55" i="22"/>
  <c r="N56" i="22"/>
  <c r="N57" i="22"/>
  <c r="N58" i="22"/>
  <c r="N59" i="22"/>
  <c r="N60" i="22"/>
  <c r="N62" i="22"/>
  <c r="N70" i="22"/>
  <c r="N75" i="22"/>
  <c r="N88" i="22"/>
  <c r="N89" i="22"/>
  <c r="N91" i="22"/>
  <c r="N92" i="22"/>
  <c r="N81" i="22"/>
  <c r="N83" i="22"/>
  <c r="N84" i="22"/>
  <c r="N94" i="22"/>
  <c r="N96" i="22"/>
  <c r="H21" i="19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9" i="22"/>
  <c r="O51" i="22"/>
  <c r="O52" i="22"/>
  <c r="O55" i="22"/>
  <c r="O56" i="22"/>
  <c r="O57" i="22"/>
  <c r="O58" i="22"/>
  <c r="O59" i="22"/>
  <c r="O60" i="22"/>
  <c r="O62" i="22"/>
  <c r="O70" i="22"/>
  <c r="O75" i="22"/>
  <c r="O88" i="22"/>
  <c r="O89" i="22"/>
  <c r="O91" i="22"/>
  <c r="O92" i="22"/>
  <c r="O81" i="22"/>
  <c r="O83" i="22"/>
  <c r="O84" i="22"/>
  <c r="O94" i="22"/>
  <c r="O96" i="22"/>
  <c r="I21" i="19"/>
  <c r="K21" i="19"/>
  <c r="K123" i="25"/>
  <c r="K125" i="25"/>
  <c r="E20" i="19"/>
  <c r="N123" i="25"/>
  <c r="N125" i="25"/>
  <c r="H20" i="19"/>
  <c r="O123" i="25"/>
  <c r="O125" i="25"/>
  <c r="I20" i="19"/>
  <c r="L123" i="25"/>
  <c r="L125" i="25"/>
  <c r="F20" i="19"/>
  <c r="M123" i="25"/>
  <c r="M125" i="25"/>
  <c r="G20" i="19"/>
  <c r="I27" i="19"/>
  <c r="H27" i="19"/>
  <c r="G27" i="19"/>
  <c r="F27" i="19"/>
  <c r="E27" i="19"/>
  <c r="G22" i="19"/>
  <c r="I22" i="19"/>
  <c r="H22" i="19"/>
  <c r="G21" i="19"/>
  <c r="E22" i="19"/>
  <c r="R139" i="10"/>
  <c r="Q139" i="10"/>
  <c r="N81" i="10"/>
  <c r="O81" i="10"/>
  <c r="F22" i="19"/>
  <c r="J20" i="19"/>
  <c r="J21" i="19"/>
  <c r="J22" i="19"/>
  <c r="H8" i="26"/>
  <c r="H12" i="26"/>
  <c r="I11" i="26"/>
  <c r="I10" i="26"/>
  <c r="I9" i="26"/>
  <c r="I8" i="26"/>
  <c r="I7" i="26"/>
  <c r="Q88" i="25"/>
  <c r="AI108" i="25"/>
  <c r="AG108" i="25"/>
  <c r="AH108" i="25"/>
  <c r="X108" i="25"/>
  <c r="W108" i="25"/>
  <c r="V108" i="25"/>
  <c r="U108" i="25"/>
  <c r="T108" i="25"/>
  <c r="S108" i="25"/>
  <c r="R108" i="25"/>
  <c r="M108" i="25"/>
  <c r="G108" i="25"/>
  <c r="K108" i="25"/>
  <c r="D108" i="25"/>
  <c r="F108" i="25"/>
  <c r="M88" i="25"/>
  <c r="G88" i="25"/>
  <c r="X88" i="25"/>
  <c r="W88" i="25"/>
  <c r="V88" i="25"/>
  <c r="U88" i="25"/>
  <c r="T88" i="25"/>
  <c r="S88" i="25"/>
  <c r="R88" i="25"/>
  <c r="AI88" i="25"/>
  <c r="AG88" i="25"/>
  <c r="AH88" i="25"/>
  <c r="D88" i="25"/>
  <c r="Y108" i="25"/>
  <c r="L108" i="25"/>
  <c r="Q108" i="25"/>
  <c r="H68" i="25"/>
  <c r="H70" i="25"/>
  <c r="H50" i="25"/>
  <c r="Y63" i="25"/>
  <c r="Y62" i="25"/>
  <c r="M29" i="25"/>
  <c r="G29" i="25"/>
  <c r="K29" i="25"/>
  <c r="Y27" i="25"/>
  <c r="Y28" i="25"/>
  <c r="Y24" i="25"/>
  <c r="O73" i="10"/>
  <c r="N73" i="10"/>
  <c r="O72" i="10"/>
  <c r="N72" i="10"/>
  <c r="F12" i="26"/>
  <c r="E12" i="26"/>
  <c r="D12" i="26"/>
  <c r="G12" i="26"/>
  <c r="I12" i="26"/>
  <c r="AG120" i="25"/>
  <c r="AH120" i="25"/>
  <c r="AG100" i="25"/>
  <c r="AH100" i="25"/>
  <c r="Y119" i="25"/>
  <c r="Y118" i="25"/>
  <c r="Y117" i="25"/>
  <c r="Y116" i="25"/>
  <c r="Y112" i="25"/>
  <c r="Y110" i="25"/>
  <c r="Y109" i="25"/>
  <c r="Y107" i="25"/>
  <c r="Y106" i="25"/>
  <c r="Y105" i="25"/>
  <c r="C129" i="25"/>
  <c r="F88" i="25"/>
  <c r="Y99" i="25"/>
  <c r="Y98" i="25"/>
  <c r="Y97" i="25"/>
  <c r="Y96" i="25"/>
  <c r="Y88" i="25"/>
  <c r="R170" i="10"/>
  <c r="Q170" i="10"/>
  <c r="R169" i="10"/>
  <c r="Q169" i="10"/>
  <c r="R168" i="10"/>
  <c r="Q168" i="10"/>
  <c r="R163" i="10"/>
  <c r="Q163" i="10"/>
  <c r="R162" i="10"/>
  <c r="Q162" i="10"/>
  <c r="R161" i="10"/>
  <c r="Q161" i="10"/>
  <c r="R160" i="10"/>
  <c r="Q160" i="10"/>
  <c r="R154" i="10"/>
  <c r="Q154" i="10"/>
  <c r="R153" i="10"/>
  <c r="Q153" i="10"/>
  <c r="R152" i="10"/>
  <c r="Q152" i="10"/>
  <c r="R151" i="10"/>
  <c r="Q151" i="10"/>
  <c r="R150" i="10"/>
  <c r="Q150" i="10"/>
  <c r="R145" i="10"/>
  <c r="Q145" i="10"/>
  <c r="R144" i="10"/>
  <c r="Q144" i="10"/>
  <c r="R143" i="10"/>
  <c r="Q143" i="10"/>
  <c r="R142" i="10"/>
  <c r="Q142" i="10"/>
  <c r="R141" i="10"/>
  <c r="Q141" i="10"/>
  <c r="R140" i="10"/>
  <c r="Q140" i="10"/>
  <c r="R134" i="10"/>
  <c r="R133" i="10"/>
  <c r="R132" i="10"/>
  <c r="R131" i="10"/>
  <c r="R130" i="10"/>
  <c r="R129" i="10"/>
  <c r="R128" i="10"/>
  <c r="R127" i="10"/>
  <c r="R126" i="10"/>
  <c r="R125" i="10"/>
  <c r="R124" i="10"/>
  <c r="R123" i="10"/>
  <c r="Q134" i="10"/>
  <c r="Q133" i="10"/>
  <c r="Q132" i="10"/>
  <c r="Q131" i="10"/>
  <c r="Q130" i="10"/>
  <c r="Q129" i="10"/>
  <c r="Q128" i="10"/>
  <c r="Q127" i="10"/>
  <c r="Q126" i="10"/>
  <c r="Q125" i="10"/>
  <c r="Q124" i="10"/>
  <c r="Q123" i="10"/>
  <c r="O116" i="10"/>
  <c r="N116" i="10"/>
  <c r="O115" i="10"/>
  <c r="N115" i="10"/>
  <c r="O114" i="10"/>
  <c r="N114" i="10"/>
  <c r="O113" i="10"/>
  <c r="N113" i="10"/>
  <c r="O112" i="10"/>
  <c r="N112" i="10"/>
  <c r="O111" i="10"/>
  <c r="N111" i="10"/>
  <c r="O110" i="10"/>
  <c r="N110" i="10"/>
  <c r="O109" i="10"/>
  <c r="N109" i="10"/>
  <c r="O108" i="10"/>
  <c r="N108" i="10"/>
  <c r="O107" i="10"/>
  <c r="N107" i="10"/>
  <c r="O106" i="10"/>
  <c r="N106" i="10"/>
  <c r="O102" i="10"/>
  <c r="N102" i="10"/>
  <c r="O101" i="10"/>
  <c r="N101" i="10"/>
  <c r="O100" i="10"/>
  <c r="N100" i="10"/>
  <c r="O99" i="10"/>
  <c r="N99" i="10"/>
  <c r="O98" i="10"/>
  <c r="N98" i="10"/>
  <c r="O97" i="10"/>
  <c r="N97" i="10"/>
  <c r="O96" i="10"/>
  <c r="N96" i="10"/>
  <c r="O95" i="10"/>
  <c r="N95" i="10"/>
  <c r="O94" i="10"/>
  <c r="N94" i="10"/>
  <c r="O93" i="10"/>
  <c r="N93" i="10"/>
  <c r="O92" i="10"/>
  <c r="N92" i="10"/>
  <c r="O91" i="10"/>
  <c r="N91" i="10"/>
  <c r="O90" i="10"/>
  <c r="N90" i="10"/>
  <c r="O89" i="10"/>
  <c r="N89" i="10"/>
  <c r="O88" i="10"/>
  <c r="N88" i="10"/>
  <c r="O87" i="10"/>
  <c r="N87" i="10"/>
  <c r="O86" i="10"/>
  <c r="N86" i="10"/>
  <c r="O85" i="10"/>
  <c r="N85" i="10"/>
  <c r="O84" i="10"/>
  <c r="N84" i="10"/>
  <c r="O83" i="10"/>
  <c r="N83" i="10"/>
  <c r="O82" i="10"/>
  <c r="N82" i="10"/>
  <c r="O80" i="10"/>
  <c r="N80" i="10"/>
  <c r="O79" i="10"/>
  <c r="N79" i="10"/>
  <c r="O78" i="10"/>
  <c r="N78" i="10"/>
  <c r="O77" i="10"/>
  <c r="N77" i="10"/>
  <c r="O76" i="10"/>
  <c r="N76" i="10"/>
  <c r="O75" i="10"/>
  <c r="N75" i="10"/>
  <c r="O74" i="10"/>
  <c r="N74" i="10"/>
  <c r="O71" i="10"/>
  <c r="N71" i="10"/>
  <c r="O70" i="10"/>
  <c r="N70" i="10"/>
  <c r="O69" i="10"/>
  <c r="N69" i="10"/>
  <c r="O68" i="10"/>
  <c r="N68" i="10"/>
  <c r="O67" i="10"/>
  <c r="N67" i="10"/>
  <c r="O66" i="10"/>
  <c r="N66" i="10"/>
  <c r="O65" i="10"/>
  <c r="N65" i="10"/>
  <c r="O64" i="10"/>
  <c r="N64" i="10"/>
  <c r="O63" i="10"/>
  <c r="N63" i="10"/>
  <c r="O62" i="10"/>
  <c r="N62" i="10"/>
  <c r="O61" i="10"/>
  <c r="N61" i="10"/>
  <c r="O60" i="10"/>
  <c r="N60" i="10"/>
  <c r="O59" i="10"/>
  <c r="N59" i="10"/>
  <c r="O58" i="10"/>
  <c r="N58" i="10"/>
  <c r="O52" i="10"/>
  <c r="N52" i="10"/>
  <c r="O51" i="10"/>
  <c r="N51" i="10"/>
  <c r="O50" i="10"/>
  <c r="N50" i="10"/>
  <c r="O49" i="10"/>
  <c r="N49" i="10"/>
  <c r="O48" i="10"/>
  <c r="N48" i="10"/>
  <c r="O47" i="10"/>
  <c r="N47" i="10"/>
  <c r="O46" i="10"/>
  <c r="N46" i="10"/>
  <c r="O45" i="10"/>
  <c r="N45" i="10"/>
  <c r="O44" i="10"/>
  <c r="N44" i="10"/>
  <c r="O43" i="10"/>
  <c r="N43" i="10"/>
  <c r="O42" i="10"/>
  <c r="N42" i="10"/>
  <c r="O41" i="10"/>
  <c r="N41" i="10"/>
  <c r="N6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O6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O9" i="10"/>
  <c r="O8" i="10"/>
  <c r="O7" i="10"/>
  <c r="E90" i="22"/>
  <c r="D90" i="22"/>
  <c r="E82" i="22"/>
  <c r="D82" i="22"/>
  <c r="Y89" i="22"/>
  <c r="E89" i="22"/>
  <c r="D89" i="22"/>
  <c r="Y88" i="22"/>
  <c r="E88" i="22"/>
  <c r="D88" i="22"/>
  <c r="F89" i="22"/>
  <c r="F90" i="22"/>
  <c r="F88" i="22"/>
  <c r="Y27" i="22"/>
  <c r="E27" i="22"/>
  <c r="D27" i="22"/>
  <c r="Y24" i="22"/>
  <c r="E24" i="22"/>
  <c r="D24" i="22"/>
  <c r="F27" i="22"/>
  <c r="F24" i="22"/>
  <c r="N152" i="10"/>
  <c r="D74" i="25"/>
  <c r="E74" i="25"/>
  <c r="I7" i="10"/>
  <c r="I16" i="10"/>
  <c r="I18" i="10"/>
  <c r="I19" i="10"/>
  <c r="I20" i="10"/>
  <c r="I21" i="10"/>
  <c r="I22" i="10"/>
  <c r="I23" i="10"/>
  <c r="I28" i="10"/>
  <c r="I29" i="10"/>
  <c r="I30" i="10"/>
  <c r="I31" i="10"/>
  <c r="I34" i="10"/>
  <c r="I35" i="10"/>
  <c r="I33" i="10"/>
  <c r="I36" i="10"/>
  <c r="I49" i="10"/>
  <c r="I38" i="10"/>
  <c r="I39" i="10"/>
  <c r="I42" i="10"/>
  <c r="I44" i="10"/>
  <c r="I48" i="10"/>
  <c r="I25" i="10"/>
  <c r="I106" i="10"/>
  <c r="I108" i="10"/>
  <c r="I110" i="10"/>
  <c r="I116" i="10"/>
  <c r="I50" i="10"/>
  <c r="I140" i="10"/>
  <c r="K140" i="10"/>
  <c r="L140" i="10"/>
  <c r="M140" i="10"/>
  <c r="D17" i="22"/>
  <c r="E17" i="22"/>
  <c r="D18" i="22"/>
  <c r="E18" i="22"/>
  <c r="D19" i="22"/>
  <c r="E19" i="22"/>
  <c r="D20" i="22"/>
  <c r="E20" i="22"/>
  <c r="D21" i="22"/>
  <c r="E21" i="22"/>
  <c r="D22" i="22"/>
  <c r="E22" i="22"/>
  <c r="D23" i="22"/>
  <c r="E23" i="22"/>
  <c r="D25" i="22"/>
  <c r="E25" i="22"/>
  <c r="D26" i="22"/>
  <c r="E26" i="22"/>
  <c r="D28" i="22"/>
  <c r="E28" i="22"/>
  <c r="D29" i="22"/>
  <c r="E29" i="22"/>
  <c r="D30" i="22"/>
  <c r="E30" i="22"/>
  <c r="D31" i="22"/>
  <c r="E31" i="22"/>
  <c r="D32" i="22"/>
  <c r="E32" i="22"/>
  <c r="D33" i="22"/>
  <c r="E33" i="22"/>
  <c r="D34" i="22"/>
  <c r="E34" i="22"/>
  <c r="D35" i="22"/>
  <c r="E35" i="22"/>
  <c r="D36" i="22"/>
  <c r="E36" i="22"/>
  <c r="D37" i="22"/>
  <c r="E37" i="22"/>
  <c r="D38" i="22"/>
  <c r="E38" i="22"/>
  <c r="D39" i="22"/>
  <c r="E39" i="22"/>
  <c r="D40" i="22"/>
  <c r="E40" i="22"/>
  <c r="D41" i="22"/>
  <c r="E41" i="22"/>
  <c r="D42" i="22"/>
  <c r="E42" i="22"/>
  <c r="D43" i="22"/>
  <c r="E43" i="22"/>
  <c r="D44" i="22"/>
  <c r="E44" i="22"/>
  <c r="D45" i="22"/>
  <c r="E45" i="22"/>
  <c r="D46" i="22"/>
  <c r="E46" i="22"/>
  <c r="D47" i="22"/>
  <c r="E47" i="22"/>
  <c r="D48" i="22"/>
  <c r="E48" i="22"/>
  <c r="D49" i="22"/>
  <c r="E49" i="22"/>
  <c r="D51" i="22"/>
  <c r="E51" i="22"/>
  <c r="D52" i="22"/>
  <c r="E52" i="22"/>
  <c r="D55" i="22"/>
  <c r="E55" i="22"/>
  <c r="D56" i="22"/>
  <c r="E56" i="22"/>
  <c r="D57" i="22"/>
  <c r="E57" i="22"/>
  <c r="D58" i="22"/>
  <c r="E58" i="22"/>
  <c r="D59" i="22"/>
  <c r="E59" i="22"/>
  <c r="D60" i="22"/>
  <c r="E60" i="22"/>
  <c r="D70" i="22"/>
  <c r="E70" i="22"/>
  <c r="D81" i="22"/>
  <c r="E81" i="22"/>
  <c r="D83" i="22"/>
  <c r="E83" i="22"/>
  <c r="D91" i="22"/>
  <c r="E91" i="22"/>
  <c r="I8" i="10"/>
  <c r="I14" i="10"/>
  <c r="I17" i="10"/>
  <c r="I43" i="10"/>
  <c r="I26" i="10"/>
  <c r="I51" i="10"/>
  <c r="I109" i="10"/>
  <c r="I127" i="10"/>
  <c r="I128" i="10"/>
  <c r="I129" i="10"/>
  <c r="I130" i="10"/>
  <c r="I131" i="10"/>
  <c r="I132" i="10"/>
  <c r="K123" i="10"/>
  <c r="K127" i="10"/>
  <c r="K128" i="10"/>
  <c r="K129" i="10"/>
  <c r="K130" i="10"/>
  <c r="K131" i="10"/>
  <c r="K132" i="10"/>
  <c r="L123" i="10"/>
  <c r="L127" i="10"/>
  <c r="L128" i="10"/>
  <c r="L129" i="10"/>
  <c r="L130" i="10"/>
  <c r="L131" i="10"/>
  <c r="L132" i="10"/>
  <c r="M123" i="10"/>
  <c r="M127" i="10"/>
  <c r="M128" i="10"/>
  <c r="M129" i="10"/>
  <c r="M130" i="10"/>
  <c r="M131" i="10"/>
  <c r="M132" i="10"/>
  <c r="B14" i="20"/>
  <c r="B13" i="20"/>
  <c r="B12" i="20"/>
  <c r="B11" i="20"/>
  <c r="B10" i="20"/>
  <c r="B9" i="20"/>
  <c r="B8" i="20"/>
  <c r="B7" i="20"/>
  <c r="B6" i="20"/>
  <c r="Y25" i="22"/>
  <c r="Y25" i="25"/>
  <c r="N14" i="20"/>
  <c r="N13" i="20"/>
  <c r="N12" i="20"/>
  <c r="N11" i="20"/>
  <c r="N10" i="20"/>
  <c r="N9" i="20"/>
  <c r="N7" i="20"/>
  <c r="N6" i="20"/>
  <c r="N8" i="20"/>
  <c r="B3" i="22"/>
  <c r="B2" i="22"/>
  <c r="B2" i="25"/>
  <c r="B3" i="25"/>
  <c r="F157" i="25"/>
  <c r="F156" i="25"/>
  <c r="F155" i="25"/>
  <c r="F154" i="25"/>
  <c r="F151" i="25"/>
  <c r="F150" i="25"/>
  <c r="F149" i="25"/>
  <c r="F148" i="25"/>
  <c r="F145" i="25"/>
  <c r="F144" i="25"/>
  <c r="F143" i="25"/>
  <c r="F142" i="25"/>
  <c r="F141" i="25"/>
  <c r="F139" i="25"/>
  <c r="F138" i="25"/>
  <c r="F137" i="25"/>
  <c r="F136" i="25"/>
  <c r="F135" i="25"/>
  <c r="F133" i="25"/>
  <c r="F132" i="25"/>
  <c r="F131" i="25"/>
  <c r="F130" i="25"/>
  <c r="F129" i="25"/>
  <c r="Y92" i="25"/>
  <c r="Y90" i="25"/>
  <c r="Y89" i="25"/>
  <c r="Y87" i="25"/>
  <c r="Y86" i="25"/>
  <c r="Y85" i="25"/>
  <c r="Y77" i="25"/>
  <c r="F77" i="25"/>
  <c r="K76" i="25"/>
  <c r="F76" i="25"/>
  <c r="Y75" i="25"/>
  <c r="K75" i="25"/>
  <c r="F75" i="25"/>
  <c r="Y74" i="25"/>
  <c r="Y73" i="25"/>
  <c r="K73" i="25"/>
  <c r="F73" i="25"/>
  <c r="Y72" i="25"/>
  <c r="K72" i="25"/>
  <c r="F72" i="25"/>
  <c r="Y70" i="25"/>
  <c r="K70" i="25"/>
  <c r="F70" i="25"/>
  <c r="Y69" i="25"/>
  <c r="K69" i="25"/>
  <c r="F69" i="25"/>
  <c r="Y68" i="25"/>
  <c r="K68" i="25"/>
  <c r="F68" i="25"/>
  <c r="Y67" i="25"/>
  <c r="K67" i="25"/>
  <c r="F67" i="25"/>
  <c r="Y66" i="25"/>
  <c r="Y65" i="25"/>
  <c r="K65" i="25"/>
  <c r="Y64" i="25"/>
  <c r="Y61" i="25"/>
  <c r="Y60" i="25"/>
  <c r="Y59" i="25"/>
  <c r="Y58" i="25"/>
  <c r="Y57" i="25"/>
  <c r="Y54" i="25"/>
  <c r="Y53" i="25"/>
  <c r="Y52" i="25"/>
  <c r="K52" i="25"/>
  <c r="F52" i="25"/>
  <c r="Y51" i="25"/>
  <c r="Y50" i="25"/>
  <c r="K50" i="25"/>
  <c r="Y49" i="25"/>
  <c r="Y48" i="25"/>
  <c r="Y47" i="25"/>
  <c r="Y46" i="25"/>
  <c r="Y45" i="25"/>
  <c r="Y44" i="25"/>
  <c r="Y43" i="25"/>
  <c r="Y42" i="25"/>
  <c r="Y41" i="25"/>
  <c r="Y40" i="25"/>
  <c r="Y39" i="25"/>
  <c r="Y38" i="25"/>
  <c r="Y37" i="25"/>
  <c r="Y36" i="25"/>
  <c r="Y35" i="25"/>
  <c r="Y34" i="25"/>
  <c r="Y33" i="25"/>
  <c r="Y32" i="25"/>
  <c r="Y31" i="25"/>
  <c r="Y30" i="25"/>
  <c r="Y26" i="25"/>
  <c r="Y23" i="25"/>
  <c r="Y22" i="25"/>
  <c r="Y21" i="25"/>
  <c r="Y20" i="25"/>
  <c r="Y19" i="25"/>
  <c r="Y18" i="25"/>
  <c r="Y17" i="25"/>
  <c r="Y13" i="25"/>
  <c r="Y12" i="25"/>
  <c r="Y11" i="25"/>
  <c r="Y10" i="25"/>
  <c r="X5" i="25"/>
  <c r="W5" i="25"/>
  <c r="V5" i="25"/>
  <c r="U5" i="25"/>
  <c r="T5" i="25"/>
  <c r="T29" i="25"/>
  <c r="S5" i="25"/>
  <c r="S29" i="25"/>
  <c r="R5" i="25"/>
  <c r="C22" i="5"/>
  <c r="Y19" i="22"/>
  <c r="Y59" i="22"/>
  <c r="Y58" i="22"/>
  <c r="Y57" i="22"/>
  <c r="Y56" i="22"/>
  <c r="Y55" i="22"/>
  <c r="Y54" i="22"/>
  <c r="Y53" i="22"/>
  <c r="Y91" i="22"/>
  <c r="F128" i="22"/>
  <c r="F127" i="22"/>
  <c r="F126" i="22"/>
  <c r="F125" i="22"/>
  <c r="Y62" i="22"/>
  <c r="F120" i="22"/>
  <c r="F119" i="22"/>
  <c r="Y66" i="22"/>
  <c r="Y65" i="22"/>
  <c r="Y64" i="22"/>
  <c r="Y52" i="22"/>
  <c r="K65" i="22"/>
  <c r="F65" i="22"/>
  <c r="F66" i="22"/>
  <c r="Y69" i="22"/>
  <c r="K69" i="22"/>
  <c r="F69" i="22"/>
  <c r="K66" i="22"/>
  <c r="Y20" i="22"/>
  <c r="Y21" i="22"/>
  <c r="Y22" i="22"/>
  <c r="Y23" i="22"/>
  <c r="F122" i="22"/>
  <c r="F121" i="22"/>
  <c r="F116" i="22"/>
  <c r="F115" i="22"/>
  <c r="F114" i="22"/>
  <c r="F113" i="22"/>
  <c r="F112" i="22"/>
  <c r="O111" i="22"/>
  <c r="K111" i="22"/>
  <c r="F110" i="22"/>
  <c r="F109" i="22"/>
  <c r="F108" i="22"/>
  <c r="F107" i="22"/>
  <c r="F106" i="22"/>
  <c r="F104" i="22"/>
  <c r="F103" i="22"/>
  <c r="F102" i="22"/>
  <c r="F101" i="22"/>
  <c r="F100" i="22"/>
  <c r="Y73" i="22"/>
  <c r="F73" i="22"/>
  <c r="K72" i="22"/>
  <c r="F72" i="22"/>
  <c r="Y71" i="22"/>
  <c r="K71" i="22"/>
  <c r="F71" i="22"/>
  <c r="Y70" i="22"/>
  <c r="Y68" i="22"/>
  <c r="K68" i="22"/>
  <c r="F68" i="22"/>
  <c r="Y67" i="22"/>
  <c r="K64" i="22"/>
  <c r="F64" i="22"/>
  <c r="Y63" i="22"/>
  <c r="K63" i="22"/>
  <c r="F63" i="22"/>
  <c r="Y61" i="22"/>
  <c r="K61" i="22"/>
  <c r="Y60" i="22"/>
  <c r="Y51" i="22"/>
  <c r="Y50" i="22"/>
  <c r="K50" i="22"/>
  <c r="F50" i="22"/>
  <c r="Y49" i="22"/>
  <c r="Y48" i="22"/>
  <c r="K48" i="22"/>
  <c r="Y47" i="22"/>
  <c r="Y46" i="22"/>
  <c r="Y45" i="22"/>
  <c r="Y44" i="22"/>
  <c r="Y43" i="22"/>
  <c r="Y42" i="22"/>
  <c r="Y41" i="22"/>
  <c r="Y40" i="22"/>
  <c r="Y39" i="22"/>
  <c r="Y38" i="22"/>
  <c r="Y37" i="22"/>
  <c r="Y36" i="22"/>
  <c r="Y35" i="22"/>
  <c r="Y34" i="22"/>
  <c r="Y33" i="22"/>
  <c r="Y32" i="22"/>
  <c r="Y31" i="22"/>
  <c r="Y30" i="22"/>
  <c r="Y29" i="22"/>
  <c r="Y28" i="22"/>
  <c r="Y26" i="22"/>
  <c r="Y18" i="22"/>
  <c r="Y17" i="22"/>
  <c r="Y13" i="22"/>
  <c r="Y12" i="22"/>
  <c r="Y11" i="22"/>
  <c r="Y10" i="22"/>
  <c r="X5" i="22"/>
  <c r="W5" i="22"/>
  <c r="V5" i="22"/>
  <c r="U5" i="22"/>
  <c r="T5" i="22"/>
  <c r="S5" i="22"/>
  <c r="R5" i="22"/>
  <c r="Y83" i="22"/>
  <c r="Y81" i="22"/>
  <c r="I27" i="10"/>
  <c r="I13" i="10"/>
  <c r="E121" i="11"/>
  <c r="E120" i="11"/>
  <c r="E119" i="11"/>
  <c r="E118" i="11"/>
  <c r="E106" i="11"/>
  <c r="E105" i="11"/>
  <c r="E104" i="11"/>
  <c r="E103" i="11"/>
  <c r="E97" i="11"/>
  <c r="E96" i="11"/>
  <c r="E95" i="11"/>
  <c r="E94" i="11"/>
  <c r="E89" i="11"/>
  <c r="E88" i="11"/>
  <c r="E87" i="11"/>
  <c r="E86" i="11"/>
  <c r="E85" i="11"/>
  <c r="E83" i="11"/>
  <c r="E78" i="11"/>
  <c r="E77" i="11"/>
  <c r="E76" i="11"/>
  <c r="E75" i="11"/>
  <c r="E74" i="11"/>
  <c r="E73" i="11"/>
  <c r="E72" i="11"/>
  <c r="E71" i="11"/>
  <c r="R6" i="11"/>
  <c r="Q6" i="11"/>
  <c r="E162" i="10"/>
  <c r="E161" i="10"/>
  <c r="E160" i="10"/>
  <c r="I47" i="10"/>
  <c r="I46" i="10"/>
  <c r="I37" i="10"/>
  <c r="I24" i="10"/>
  <c r="E38" i="7"/>
  <c r="F38" i="7"/>
  <c r="G38" i="7"/>
  <c r="H38" i="7"/>
  <c r="D38" i="7"/>
  <c r="C37" i="7"/>
  <c r="D33" i="7"/>
  <c r="E33" i="7"/>
  <c r="F33" i="7"/>
  <c r="G33" i="7"/>
  <c r="D32" i="7"/>
  <c r="E32" i="7"/>
  <c r="F32" i="7"/>
  <c r="G32" i="7"/>
  <c r="G12" i="7"/>
  <c r="F12" i="7"/>
  <c r="E12" i="7"/>
  <c r="D12" i="7"/>
  <c r="C12" i="7"/>
  <c r="E10" i="7"/>
  <c r="F10" i="7"/>
  <c r="G10" i="7"/>
  <c r="H10" i="7"/>
  <c r="I10" i="7"/>
  <c r="J10" i="7"/>
  <c r="K10" i="7"/>
  <c r="L10" i="7"/>
  <c r="M10" i="7"/>
  <c r="D9" i="7"/>
  <c r="E9" i="7"/>
  <c r="F9" i="7"/>
  <c r="G9" i="7"/>
  <c r="H9" i="7"/>
  <c r="I9" i="7"/>
  <c r="J9" i="7"/>
  <c r="K9" i="7"/>
  <c r="L9" i="7"/>
  <c r="M9" i="7"/>
  <c r="D8" i="7"/>
  <c r="E8" i="7"/>
  <c r="F8" i="7"/>
  <c r="G8" i="7"/>
  <c r="C5" i="7"/>
  <c r="C7" i="7"/>
  <c r="E84" i="11"/>
  <c r="H32" i="7"/>
  <c r="J127" i="10"/>
  <c r="J123" i="10"/>
  <c r="D7" i="7"/>
  <c r="E7" i="7"/>
  <c r="F7" i="7"/>
  <c r="G7" i="7"/>
  <c r="H33" i="7"/>
  <c r="K122" i="10"/>
  <c r="I107" i="10"/>
  <c r="I111" i="10"/>
  <c r="I113" i="10"/>
  <c r="I115" i="10"/>
  <c r="J122" i="10"/>
  <c r="I123" i="10"/>
  <c r="I133" i="10"/>
  <c r="M133" i="10"/>
  <c r="I134" i="10"/>
  <c r="M134" i="10"/>
  <c r="I139" i="10"/>
  <c r="M139" i="10"/>
  <c r="K141" i="10"/>
  <c r="K142" i="10"/>
  <c r="K143" i="10"/>
  <c r="K144" i="10"/>
  <c r="K145" i="10"/>
  <c r="K150" i="10"/>
  <c r="K151" i="10"/>
  <c r="K153" i="10"/>
  <c r="K154" i="10"/>
  <c r="J163" i="10"/>
  <c r="J175" i="10"/>
  <c r="L176" i="10"/>
  <c r="J177" i="10"/>
  <c r="L178" i="10"/>
  <c r="J128" i="10"/>
  <c r="J129" i="10"/>
  <c r="J130" i="10"/>
  <c r="J131" i="10"/>
  <c r="J133" i="10"/>
  <c r="J134" i="10"/>
  <c r="J139" i="10"/>
  <c r="L141" i="10"/>
  <c r="L142" i="10"/>
  <c r="L143" i="10"/>
  <c r="L144" i="10"/>
  <c r="L145" i="10"/>
  <c r="L150" i="10"/>
  <c r="L151" i="10"/>
  <c r="L153" i="10"/>
  <c r="L154" i="10"/>
  <c r="K163" i="10"/>
  <c r="K175" i="10"/>
  <c r="I176" i="10"/>
  <c r="M176" i="10"/>
  <c r="K177" i="10"/>
  <c r="I178" i="10"/>
  <c r="M178" i="10"/>
  <c r="I112" i="10"/>
  <c r="I114" i="10"/>
  <c r="L122" i="10"/>
  <c r="K133" i="10"/>
  <c r="K134" i="10"/>
  <c r="K139" i="10"/>
  <c r="I141" i="10"/>
  <c r="M141" i="10"/>
  <c r="I142" i="10"/>
  <c r="M142" i="10"/>
  <c r="I143" i="10"/>
  <c r="M143" i="10"/>
  <c r="I144" i="10"/>
  <c r="M144" i="10"/>
  <c r="I145" i="10"/>
  <c r="M145" i="10"/>
  <c r="I150" i="10"/>
  <c r="M150" i="10"/>
  <c r="I151" i="10"/>
  <c r="M151" i="10"/>
  <c r="I153" i="10"/>
  <c r="M153" i="10"/>
  <c r="I154" i="10"/>
  <c r="M154" i="10"/>
  <c r="L163" i="10"/>
  <c r="L175" i="10"/>
  <c r="J176" i="10"/>
  <c r="L177" i="10"/>
  <c r="J178" i="10"/>
  <c r="I32" i="10"/>
  <c r="I40" i="10"/>
  <c r="I45" i="10"/>
  <c r="I122" i="10"/>
  <c r="M122" i="10"/>
  <c r="L133" i="10"/>
  <c r="L134" i="10"/>
  <c r="L139" i="10"/>
  <c r="J140" i="10"/>
  <c r="J141" i="10"/>
  <c r="J142" i="10"/>
  <c r="J143" i="10"/>
  <c r="J144" i="10"/>
  <c r="J145" i="10"/>
  <c r="J150" i="10"/>
  <c r="J151" i="10"/>
  <c r="J153" i="10"/>
  <c r="J154" i="10"/>
  <c r="I163" i="10"/>
  <c r="M163" i="10"/>
  <c r="I175" i="10"/>
  <c r="M175" i="10"/>
  <c r="K176" i="10"/>
  <c r="I177" i="10"/>
  <c r="M177" i="10"/>
  <c r="K178" i="10"/>
  <c r="E14" i="5"/>
  <c r="F14" i="5"/>
  <c r="G14" i="5"/>
  <c r="H14" i="5"/>
  <c r="M75" i="22"/>
  <c r="L63" i="25"/>
  <c r="Q63" i="25"/>
  <c r="L62" i="25"/>
  <c r="Q62" i="25"/>
  <c r="R29" i="25"/>
  <c r="Y29" i="25"/>
  <c r="L28" i="25"/>
  <c r="L27" i="25"/>
  <c r="Q27" i="25"/>
  <c r="L24" i="25"/>
  <c r="K88" i="25"/>
  <c r="L105" i="25"/>
  <c r="L119" i="25"/>
  <c r="Q119" i="25"/>
  <c r="L118" i="25"/>
  <c r="Q118" i="25"/>
  <c r="L117" i="25"/>
  <c r="Q117" i="25"/>
  <c r="L116" i="25"/>
  <c r="L112" i="25"/>
  <c r="L110" i="25"/>
  <c r="Q110" i="25"/>
  <c r="L109" i="25"/>
  <c r="Q109" i="25"/>
  <c r="L107" i="25"/>
  <c r="Q107" i="25"/>
  <c r="L106" i="25"/>
  <c r="L97" i="25"/>
  <c r="Q97" i="25"/>
  <c r="L88" i="25"/>
  <c r="L98" i="25"/>
  <c r="Q98" i="25"/>
  <c r="L96" i="25"/>
  <c r="Q96" i="25"/>
  <c r="L99" i="25"/>
  <c r="Q99" i="25"/>
  <c r="L25" i="25"/>
  <c r="Q25" i="25"/>
  <c r="L50" i="25"/>
  <c r="L12" i="25"/>
  <c r="P12" i="25"/>
  <c r="L67" i="25"/>
  <c r="L61" i="25"/>
  <c r="L57" i="25"/>
  <c r="Q57" i="25"/>
  <c r="L41" i="25"/>
  <c r="L66" i="25"/>
  <c r="L22" i="25"/>
  <c r="Q22" i="25"/>
  <c r="L36" i="25"/>
  <c r="Q36" i="25"/>
  <c r="L74" i="25"/>
  <c r="L34" i="25"/>
  <c r="L11" i="25"/>
  <c r="P11" i="25"/>
  <c r="L38" i="25"/>
  <c r="L92" i="25"/>
  <c r="Q92" i="25"/>
  <c r="L17" i="25"/>
  <c r="Q17" i="25"/>
  <c r="L37" i="25"/>
  <c r="L10" i="25"/>
  <c r="P10" i="25"/>
  <c r="L69" i="25"/>
  <c r="L33" i="25"/>
  <c r="L48" i="25"/>
  <c r="L39" i="25"/>
  <c r="L77" i="25"/>
  <c r="L60" i="25"/>
  <c r="L30" i="25"/>
  <c r="L58" i="25"/>
  <c r="Q58" i="25"/>
  <c r="L54" i="25"/>
  <c r="L76" i="25"/>
  <c r="L87" i="25"/>
  <c r="Q87" i="25"/>
  <c r="L45" i="25"/>
  <c r="L23" i="25"/>
  <c r="Q23" i="25"/>
  <c r="L43" i="25"/>
  <c r="L52" i="25"/>
  <c r="L46" i="25"/>
  <c r="L75" i="25"/>
  <c r="L59" i="25"/>
  <c r="Q59" i="25"/>
  <c r="L35" i="25"/>
  <c r="L26" i="25"/>
  <c r="L49" i="25"/>
  <c r="L13" i="25"/>
  <c r="P13" i="25"/>
  <c r="L31" i="25"/>
  <c r="L90" i="25"/>
  <c r="Q90" i="25"/>
  <c r="L32" i="25"/>
  <c r="L51" i="25"/>
  <c r="L42" i="25"/>
  <c r="L70" i="25"/>
  <c r="L89" i="25"/>
  <c r="Q89" i="25"/>
  <c r="L18" i="25"/>
  <c r="Q18" i="25"/>
  <c r="L7" i="25"/>
  <c r="P7" i="25"/>
  <c r="L86" i="25"/>
  <c r="Q86" i="25"/>
  <c r="L85" i="25"/>
  <c r="Q85" i="25"/>
  <c r="L40" i="25"/>
  <c r="L19" i="25"/>
  <c r="L47" i="25"/>
  <c r="L53" i="25"/>
  <c r="L72" i="25"/>
  <c r="L73" i="25"/>
  <c r="L65" i="25"/>
  <c r="L21" i="25"/>
  <c r="Q21" i="25"/>
  <c r="L64" i="25"/>
  <c r="L20" i="25"/>
  <c r="Q20" i="25"/>
  <c r="L68" i="25"/>
  <c r="L44" i="25"/>
  <c r="F74" i="25"/>
  <c r="M82" i="22"/>
  <c r="M84" i="22"/>
  <c r="M90" i="22"/>
  <c r="M92" i="22"/>
  <c r="N82" i="22"/>
  <c r="N90" i="22"/>
  <c r="G90" i="22"/>
  <c r="K90" i="22"/>
  <c r="G82" i="22"/>
  <c r="K82" i="22"/>
  <c r="O90" i="22"/>
  <c r="O82" i="22"/>
  <c r="L89" i="22"/>
  <c r="L88" i="22"/>
  <c r="P88" i="22"/>
  <c r="Q88" i="22"/>
  <c r="L152" i="10"/>
  <c r="L72" i="22"/>
  <c r="P72" i="22"/>
  <c r="L28" i="22"/>
  <c r="L35" i="22"/>
  <c r="L27" i="22"/>
  <c r="M152" i="10"/>
  <c r="J152" i="10"/>
  <c r="I152" i="10"/>
  <c r="K152" i="10"/>
  <c r="L45" i="22"/>
  <c r="L58" i="22"/>
  <c r="L24" i="22"/>
  <c r="L25" i="22"/>
  <c r="P25" i="22"/>
  <c r="Q25" i="22"/>
  <c r="L46" i="22"/>
  <c r="L23" i="22"/>
  <c r="L52" i="22"/>
  <c r="L39" i="22"/>
  <c r="L63" i="22"/>
  <c r="P63" i="22"/>
  <c r="L81" i="22"/>
  <c r="L34" i="22"/>
  <c r="L12" i="22"/>
  <c r="P12" i="22"/>
  <c r="L69" i="22"/>
  <c r="P69" i="22"/>
  <c r="L91" i="22"/>
  <c r="P91" i="22"/>
  <c r="Q91" i="22"/>
  <c r="L43" i="22"/>
  <c r="L30" i="22"/>
  <c r="L18" i="22"/>
  <c r="P18" i="22"/>
  <c r="Q18" i="22"/>
  <c r="L47" i="22"/>
  <c r="L48" i="22"/>
  <c r="P48" i="22"/>
  <c r="L68" i="22"/>
  <c r="P68" i="22"/>
  <c r="L70" i="22"/>
  <c r="L10" i="22"/>
  <c r="P10" i="22"/>
  <c r="L65" i="22"/>
  <c r="P65" i="22"/>
  <c r="L60" i="22"/>
  <c r="L29" i="22"/>
  <c r="L49" i="22"/>
  <c r="L83" i="22"/>
  <c r="P83" i="22"/>
  <c r="L40" i="22"/>
  <c r="P40" i="22"/>
  <c r="L11" i="22"/>
  <c r="P11" i="22"/>
  <c r="L57" i="22"/>
  <c r="P57" i="22"/>
  <c r="Q57" i="22"/>
  <c r="L7" i="22"/>
  <c r="L17" i="22"/>
  <c r="P17" i="22"/>
  <c r="L73" i="22"/>
  <c r="P73" i="22"/>
  <c r="L33" i="22"/>
  <c r="L56" i="22"/>
  <c r="P56" i="22"/>
  <c r="Q56" i="22"/>
  <c r="L50" i="22"/>
  <c r="P50" i="22"/>
  <c r="L71" i="22"/>
  <c r="P71" i="22"/>
  <c r="L32" i="22"/>
  <c r="L13" i="22"/>
  <c r="P13" i="22"/>
  <c r="L20" i="22"/>
  <c r="P20" i="22"/>
  <c r="Q20" i="22"/>
  <c r="L19" i="22"/>
  <c r="P19" i="22"/>
  <c r="Q19" i="22"/>
  <c r="L59" i="22"/>
  <c r="L38" i="22"/>
  <c r="L62" i="22"/>
  <c r="L44" i="22"/>
  <c r="L37" i="22"/>
  <c r="L26" i="22"/>
  <c r="L51" i="22"/>
  <c r="L61" i="22"/>
  <c r="P61" i="22"/>
  <c r="L42" i="22"/>
  <c r="L21" i="22"/>
  <c r="P21" i="22"/>
  <c r="Q21" i="22"/>
  <c r="L36" i="22"/>
  <c r="L41" i="22"/>
  <c r="L31" i="22"/>
  <c r="L55" i="22"/>
  <c r="L64" i="22"/>
  <c r="P64" i="22"/>
  <c r="L22" i="22"/>
  <c r="P22" i="22"/>
  <c r="Q22" i="22"/>
  <c r="L66" i="22"/>
  <c r="P66" i="22"/>
  <c r="E130" i="10"/>
  <c r="E127" i="10"/>
  <c r="E131" i="10"/>
  <c r="E132" i="10"/>
  <c r="E128" i="10"/>
  <c r="E129" i="10"/>
  <c r="E151" i="10"/>
  <c r="F70" i="22"/>
  <c r="E178" i="10"/>
  <c r="E134" i="10"/>
  <c r="E144" i="10"/>
  <c r="E145" i="10"/>
  <c r="E150" i="10"/>
  <c r="G52" i="22"/>
  <c r="G54" i="25"/>
  <c r="E177" i="10"/>
  <c r="E133" i="10"/>
  <c r="E176" i="10"/>
  <c r="E153" i="10"/>
  <c r="E163" i="10"/>
  <c r="E140" i="10"/>
  <c r="E175" i="10"/>
  <c r="F55" i="22"/>
  <c r="F36" i="22"/>
  <c r="F83" i="22"/>
  <c r="F82" i="22"/>
  <c r="F52" i="22"/>
  <c r="F32" i="22"/>
  <c r="F28" i="22"/>
  <c r="F22" i="22"/>
  <c r="F34" i="22"/>
  <c r="F30" i="22"/>
  <c r="F25" i="22"/>
  <c r="F17" i="22"/>
  <c r="F81" i="22"/>
  <c r="F33" i="22"/>
  <c r="F48" i="22"/>
  <c r="F44" i="22"/>
  <c r="F43" i="22"/>
  <c r="F26" i="22"/>
  <c r="F56" i="22"/>
  <c r="F91" i="22"/>
  <c r="F49" i="22"/>
  <c r="F41" i="22"/>
  <c r="F19" i="22"/>
  <c r="E143" i="10"/>
  <c r="E154" i="10"/>
  <c r="E142" i="10"/>
  <c r="E141" i="10"/>
  <c r="E139" i="10"/>
  <c r="F59" i="22"/>
  <c r="F23" i="22"/>
  <c r="F35" i="22"/>
  <c r="G74" i="25"/>
  <c r="K74" i="25"/>
  <c r="G70" i="22"/>
  <c r="K70" i="22"/>
  <c r="F42" i="22"/>
  <c r="F38" i="22"/>
  <c r="F45" i="22"/>
  <c r="F37" i="22"/>
  <c r="F31" i="22"/>
  <c r="P23" i="22"/>
  <c r="Q23" i="22"/>
  <c r="F57" i="22"/>
  <c r="F40" i="22"/>
  <c r="F29" i="22"/>
  <c r="F21" i="22"/>
  <c r="F18" i="22"/>
  <c r="P81" i="22"/>
  <c r="F60" i="22"/>
  <c r="F51" i="22"/>
  <c r="F46" i="22"/>
  <c r="F20" i="22"/>
  <c r="F58" i="22"/>
  <c r="F47" i="22"/>
  <c r="P55" i="22"/>
  <c r="Q55" i="22"/>
  <c r="F39" i="22"/>
  <c r="Q45" i="25"/>
  <c r="L29" i="25"/>
  <c r="Q29" i="25"/>
  <c r="Q28" i="25"/>
  <c r="Q24" i="25"/>
  <c r="Y100" i="25"/>
  <c r="Y120" i="25"/>
  <c r="Q43" i="25"/>
  <c r="Q74" i="25"/>
  <c r="Q49" i="25"/>
  <c r="Q106" i="25"/>
  <c r="Q112" i="25"/>
  <c r="Q120" i="25"/>
  <c r="Q31" i="25"/>
  <c r="Q38" i="25"/>
  <c r="Q46" i="25"/>
  <c r="Q34" i="25"/>
  <c r="Q51" i="25"/>
  <c r="Q54" i="25"/>
  <c r="Q42" i="25"/>
  <c r="Q30" i="25"/>
  <c r="Q44" i="25"/>
  <c r="Q48" i="25"/>
  <c r="M94" i="22"/>
  <c r="M96" i="22"/>
  <c r="Q66" i="25"/>
  <c r="P24" i="22"/>
  <c r="Q24" i="22"/>
  <c r="P27" i="22"/>
  <c r="Q27" i="22"/>
  <c r="Q64" i="25"/>
  <c r="P89" i="22"/>
  <c r="Q89" i="22"/>
  <c r="Q35" i="25"/>
  <c r="Q39" i="25"/>
  <c r="Y82" i="22"/>
  <c r="P82" i="22"/>
  <c r="Q82" i="22"/>
  <c r="P60" i="22"/>
  <c r="Q60" i="22"/>
  <c r="P90" i="22"/>
  <c r="Q90" i="22"/>
  <c r="Y90" i="22"/>
  <c r="Q81" i="22"/>
  <c r="P52" i="22"/>
  <c r="Q52" i="22"/>
  <c r="Q37" i="25"/>
  <c r="Q60" i="25"/>
  <c r="P43" i="22"/>
  <c r="Q43" i="22"/>
  <c r="P49" i="22"/>
  <c r="Q49" i="22"/>
  <c r="P45" i="22"/>
  <c r="Q45" i="22"/>
  <c r="P46" i="22"/>
  <c r="Q46" i="22"/>
  <c r="E152" i="10"/>
  <c r="P39" i="22"/>
  <c r="Q39" i="22"/>
  <c r="P41" i="22"/>
  <c r="Q41" i="22"/>
  <c r="P38" i="22"/>
  <c r="Q38" i="22"/>
  <c r="P62" i="22"/>
  <c r="Q62" i="22"/>
  <c r="L75" i="22"/>
  <c r="P7" i="22"/>
  <c r="P42" i="22"/>
  <c r="Q42" i="22"/>
  <c r="P70" i="22"/>
  <c r="Q70" i="22"/>
  <c r="P34" i="22"/>
  <c r="Q34" i="22"/>
  <c r="P31" i="22"/>
  <c r="Q31" i="22"/>
  <c r="Q47" i="25"/>
  <c r="P58" i="22"/>
  <c r="Q58" i="22"/>
  <c r="Q40" i="25"/>
  <c r="P36" i="22"/>
  <c r="Q36" i="22"/>
  <c r="P30" i="22"/>
  <c r="Q30" i="22"/>
  <c r="Q33" i="25"/>
  <c r="P28" i="22"/>
  <c r="Q28" i="22"/>
  <c r="P44" i="22"/>
  <c r="Q44" i="22"/>
  <c r="P26" i="22"/>
  <c r="Q26" i="22"/>
  <c r="P37" i="22"/>
  <c r="Q37" i="22"/>
  <c r="Q40" i="22"/>
  <c r="P47" i="22"/>
  <c r="Q47" i="22"/>
  <c r="P29" i="22"/>
  <c r="Q29" i="22"/>
  <c r="P59" i="22"/>
  <c r="Q59" i="22"/>
  <c r="P33" i="22"/>
  <c r="Q33" i="22"/>
  <c r="K127" i="22"/>
  <c r="Q53" i="25"/>
  <c r="Q41" i="25"/>
  <c r="K126" i="22"/>
  <c r="P128" i="22"/>
  <c r="L126" i="22"/>
  <c r="N128" i="22"/>
  <c r="P126" i="22"/>
  <c r="P51" i="22"/>
  <c r="Q51" i="22"/>
  <c r="P35" i="22"/>
  <c r="Q35" i="22"/>
  <c r="K100" i="22"/>
  <c r="K112" i="22"/>
  <c r="P122" i="22"/>
  <c r="P119" i="22"/>
  <c r="K128" i="22"/>
  <c r="O125" i="22"/>
  <c r="K125" i="22"/>
  <c r="N126" i="22"/>
  <c r="M128" i="22"/>
  <c r="M126" i="22"/>
  <c r="N125" i="22"/>
  <c r="M125" i="22"/>
  <c r="L128" i="22"/>
  <c r="O128" i="22"/>
  <c r="L125" i="22"/>
  <c r="M127" i="22"/>
  <c r="O126" i="22"/>
  <c r="O127" i="22"/>
  <c r="K103" i="22"/>
  <c r="K115" i="22"/>
  <c r="Q61" i="25"/>
  <c r="N119" i="22"/>
  <c r="N122" i="22"/>
  <c r="K120" i="22"/>
  <c r="M121" i="22"/>
  <c r="N120" i="22"/>
  <c r="O122" i="22"/>
  <c r="M120" i="22"/>
  <c r="M122" i="22"/>
  <c r="O120" i="22"/>
  <c r="M119" i="22"/>
  <c r="O121" i="22"/>
  <c r="O119" i="22"/>
  <c r="N121" i="22"/>
  <c r="K121" i="22"/>
  <c r="K119" i="22"/>
  <c r="L120" i="22"/>
  <c r="K122" i="22"/>
  <c r="L119" i="22"/>
  <c r="L122" i="22"/>
  <c r="N127" i="22"/>
  <c r="O101" i="22"/>
  <c r="O113" i="22"/>
  <c r="L100" i="22"/>
  <c r="Q26" i="25"/>
  <c r="P120" i="22"/>
  <c r="P32" i="22"/>
  <c r="Q32" i="22"/>
  <c r="N102" i="22"/>
  <c r="O100" i="22"/>
  <c r="L101" i="22"/>
  <c r="N103" i="22"/>
  <c r="M104" i="22"/>
  <c r="Q83" i="22"/>
  <c r="L103" i="22"/>
  <c r="N100" i="22"/>
  <c r="N104" i="22"/>
  <c r="M102" i="22"/>
  <c r="K104" i="22"/>
  <c r="K101" i="22"/>
  <c r="M100" i="22"/>
  <c r="K102" i="22"/>
  <c r="O103" i="22"/>
  <c r="O115" i="22"/>
  <c r="L102" i="22"/>
  <c r="O102" i="22"/>
  <c r="O114" i="22"/>
  <c r="O104" i="22"/>
  <c r="O116" i="22"/>
  <c r="L104" i="22"/>
  <c r="Q17" i="22"/>
  <c r="Q19" i="25"/>
  <c r="M101" i="22"/>
  <c r="M103" i="22"/>
  <c r="N101" i="22"/>
  <c r="Q32" i="25"/>
  <c r="Q105" i="25"/>
  <c r="Q116" i="25"/>
  <c r="L121" i="22"/>
  <c r="L123" i="22"/>
  <c r="P121" i="22"/>
  <c r="P123" i="22"/>
  <c r="P125" i="22"/>
  <c r="L127" i="22"/>
  <c r="L129" i="22"/>
  <c r="P84" i="22"/>
  <c r="P127" i="22"/>
  <c r="P92" i="22"/>
  <c r="P75" i="22"/>
  <c r="K105" i="22"/>
  <c r="K123" i="22"/>
  <c r="K124" i="22"/>
  <c r="K129" i="22"/>
  <c r="K130" i="22"/>
  <c r="P100" i="22"/>
  <c r="N129" i="22"/>
  <c r="N130" i="22"/>
  <c r="N159" i="25"/>
  <c r="O129" i="22"/>
  <c r="O130" i="22"/>
  <c r="N123" i="22"/>
  <c r="N124" i="22"/>
  <c r="M123" i="22"/>
  <c r="M124" i="22"/>
  <c r="K159" i="25"/>
  <c r="M129" i="22"/>
  <c r="M130" i="22"/>
  <c r="L159" i="25"/>
  <c r="M159" i="25"/>
  <c r="P103" i="22"/>
  <c r="L105" i="22"/>
  <c r="O123" i="22"/>
  <c r="O124" i="22"/>
  <c r="O159" i="25"/>
  <c r="P102" i="22"/>
  <c r="K114" i="22"/>
  <c r="M105" i="22"/>
  <c r="N105" i="22"/>
  <c r="P101" i="22"/>
  <c r="K113" i="22"/>
  <c r="P104" i="22"/>
  <c r="K116" i="22"/>
  <c r="O105" i="22"/>
  <c r="O112" i="22"/>
  <c r="O117" i="22"/>
  <c r="O118" i="22"/>
  <c r="Q100" i="25"/>
  <c r="P123" i="25"/>
  <c r="P125" i="25"/>
  <c r="P159" i="25"/>
  <c r="L124" i="22"/>
  <c r="L130" i="22"/>
  <c r="P124" i="22"/>
  <c r="P129" i="22"/>
  <c r="P130" i="22"/>
  <c r="P94" i="22"/>
  <c r="P96" i="22"/>
  <c r="K117" i="22"/>
  <c r="K118" i="22"/>
  <c r="P105" i="22"/>
  <c r="M109" i="22"/>
  <c r="M115" i="22"/>
  <c r="P13" i="19"/>
  <c r="Q13" i="19"/>
  <c r="M108" i="22"/>
  <c r="M114" i="22"/>
  <c r="M110" i="22"/>
  <c r="M116" i="22"/>
  <c r="N107" i="22"/>
  <c r="N113" i="22"/>
  <c r="N108" i="22"/>
  <c r="N114" i="22"/>
  <c r="L107" i="22"/>
  <c r="L113" i="22"/>
  <c r="L110" i="22"/>
  <c r="L116" i="22"/>
  <c r="L108" i="22"/>
  <c r="L114" i="22"/>
  <c r="L106" i="22"/>
  <c r="L112" i="22"/>
  <c r="N106" i="22"/>
  <c r="N112" i="22"/>
  <c r="M107" i="22"/>
  <c r="M113" i="22"/>
  <c r="M106" i="22"/>
  <c r="M112" i="22"/>
  <c r="N110" i="22"/>
  <c r="N116" i="22"/>
  <c r="L109" i="22"/>
  <c r="N109" i="22"/>
  <c r="N115" i="22"/>
  <c r="P106" i="22"/>
  <c r="P112" i="22"/>
  <c r="P108" i="22"/>
  <c r="P114" i="22"/>
  <c r="L111" i="22"/>
  <c r="N117" i="22"/>
  <c r="N118" i="22"/>
  <c r="P110" i="22"/>
  <c r="P116" i="22"/>
  <c r="N111" i="22"/>
  <c r="L115" i="22"/>
  <c r="L117" i="22"/>
  <c r="L118" i="22"/>
  <c r="P109" i="22"/>
  <c r="P115" i="22"/>
  <c r="P107" i="22"/>
  <c r="P113" i="22"/>
  <c r="M117" i="22"/>
  <c r="M118" i="22"/>
  <c r="M111" i="22"/>
  <c r="K8" i="5"/>
  <c r="J8" i="5"/>
  <c r="M8" i="5"/>
  <c r="L8" i="5"/>
  <c r="I8" i="5"/>
  <c r="C8" i="5"/>
  <c r="F8" i="5"/>
  <c r="H8" i="5"/>
  <c r="G8" i="5"/>
  <c r="E8" i="5"/>
  <c r="N6" i="5"/>
  <c r="P111" i="22"/>
  <c r="P117" i="22"/>
  <c r="P118" i="22"/>
  <c r="N15" i="19"/>
  <c r="H15" i="19"/>
  <c r="I15" i="19"/>
  <c r="M15" i="19"/>
  <c r="K15" i="19"/>
  <c r="J15" i="19"/>
  <c r="L15" i="19"/>
  <c r="O15" i="19"/>
  <c r="G15" i="19"/>
  <c r="P12" i="19"/>
  <c r="E15" i="19"/>
  <c r="P14" i="19"/>
  <c r="Q14" i="19"/>
  <c r="F15" i="19"/>
  <c r="F18" i="5"/>
  <c r="G18" i="5"/>
  <c r="E18" i="5"/>
  <c r="H18" i="5"/>
  <c r="P15" i="19"/>
  <c r="Q12" i="19"/>
  <c r="Q15" i="19"/>
  <c r="N8" i="5"/>
  <c r="C18" i="5"/>
  <c r="E9" i="19"/>
  <c r="E16" i="19"/>
  <c r="I9" i="19"/>
  <c r="I16" i="19"/>
  <c r="N9" i="19"/>
  <c r="N16" i="19"/>
  <c r="O9" i="19"/>
  <c r="O16" i="19"/>
  <c r="L9" i="19"/>
  <c r="L16" i="19"/>
  <c r="M9" i="19"/>
  <c r="M16" i="19"/>
  <c r="K9" i="19"/>
  <c r="K16" i="19"/>
  <c r="H9" i="19"/>
  <c r="H16" i="19"/>
  <c r="J9" i="19"/>
  <c r="J16" i="19"/>
  <c r="F9" i="19"/>
  <c r="F16" i="19"/>
  <c r="G9" i="19"/>
  <c r="G16" i="19"/>
  <c r="P5" i="19"/>
  <c r="P8" i="19"/>
  <c r="Q8" i="19"/>
  <c r="N7" i="5"/>
  <c r="P6" i="19"/>
  <c r="Q6" i="19"/>
  <c r="H9" i="5"/>
  <c r="H10" i="5"/>
  <c r="K9" i="5"/>
  <c r="K10" i="5"/>
  <c r="P7" i="19"/>
  <c r="Q7" i="19"/>
  <c r="F9" i="5"/>
  <c r="F10" i="5"/>
  <c r="J9" i="5"/>
  <c r="J10" i="5"/>
  <c r="G9" i="5"/>
  <c r="G10" i="5"/>
  <c r="E9" i="5"/>
  <c r="E10" i="5"/>
  <c r="N5" i="5"/>
  <c r="N9" i="5"/>
  <c r="C9" i="5"/>
  <c r="C10" i="5"/>
  <c r="L9" i="5"/>
  <c r="L10" i="5"/>
  <c r="I9" i="5"/>
  <c r="I10" i="5"/>
  <c r="M9" i="5"/>
  <c r="M10" i="5"/>
  <c r="Q5" i="19"/>
  <c r="D9" i="5"/>
  <c r="D10" i="5"/>
  <c r="Q9" i="19"/>
  <c r="P9" i="19"/>
  <c r="N10" i="5"/>
  <c r="P16" i="19"/>
  <c r="F20" i="5"/>
  <c r="C20" i="5"/>
  <c r="D20" i="5"/>
  <c r="H20" i="5"/>
  <c r="E20" i="5"/>
  <c r="G20" i="5"/>
  <c r="K20" i="19"/>
  <c r="K22" i="19"/>
</calcChain>
</file>

<file path=xl/comments1.xml><?xml version="1.0" encoding="utf-8"?>
<comments xmlns="http://schemas.openxmlformats.org/spreadsheetml/2006/main">
  <authors>
    <author>Author</author>
  </authors>
  <commentList>
    <comment ref="G50" authorId="0" shapeId="0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Average unit rate across all cable types, excluding feeder exit cable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G48" authorId="0" shapeId="0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Average unit rate across all cable types, excluding feeder exit cable</t>
        </r>
      </text>
    </comment>
  </commentList>
</comments>
</file>

<file path=xl/sharedStrings.xml><?xml version="1.0" encoding="utf-8"?>
<sst xmlns="http://schemas.openxmlformats.org/spreadsheetml/2006/main" count="2188" uniqueCount="456">
  <si>
    <t>TOTAL</t>
  </si>
  <si>
    <t>Allocation</t>
  </si>
  <si>
    <t>SCADA/Network control</t>
  </si>
  <si>
    <t>Subtransmission</t>
  </si>
  <si>
    <t>Land</t>
  </si>
  <si>
    <t>Asset Class</t>
  </si>
  <si>
    <t>Total</t>
  </si>
  <si>
    <t>2022 Jul-Dec</t>
  </si>
  <si>
    <t>2023 Jan-Jun</t>
  </si>
  <si>
    <t>2023 Jul-Dec</t>
  </si>
  <si>
    <t>2024 Jan-Jun</t>
  </si>
  <si>
    <t>2024 Jul-Dec</t>
  </si>
  <si>
    <t>2025 Jan-Jun</t>
  </si>
  <si>
    <t>2025 Jul-Dec</t>
  </si>
  <si>
    <t>2026 Jan-Jun</t>
  </si>
  <si>
    <t>2021 Jan-Jun</t>
  </si>
  <si>
    <t>2021 Jul-Dec</t>
  </si>
  <si>
    <t>2022 Jan-Jun</t>
  </si>
  <si>
    <t>Expenditure Class</t>
  </si>
  <si>
    <t>Materials</t>
  </si>
  <si>
    <t>Int Labour</t>
  </si>
  <si>
    <t>Contracts - Design</t>
  </si>
  <si>
    <t>Contracts - Construct</t>
  </si>
  <si>
    <t>Other</t>
  </si>
  <si>
    <t>P50 Total</t>
  </si>
  <si>
    <t>Augmentation</t>
  </si>
  <si>
    <t>Replacement</t>
  </si>
  <si>
    <t>Non-Network</t>
  </si>
  <si>
    <t>SCADA/Network controlAugmentation</t>
  </si>
  <si>
    <t>real $2019</t>
  </si>
  <si>
    <t>Grand Total</t>
  </si>
  <si>
    <t>Total ($2019)</t>
  </si>
  <si>
    <t>Jan-Jun 2021</t>
  </si>
  <si>
    <t>CPI - $2018 to $2019</t>
  </si>
  <si>
    <t>Total Direct</t>
  </si>
  <si>
    <t>Escalators</t>
  </si>
  <si>
    <t>CPI</t>
  </si>
  <si>
    <t>Sep Qtr</t>
  </si>
  <si>
    <t>Jun Qtr</t>
  </si>
  <si>
    <t>Forecast</t>
  </si>
  <si>
    <t>Actual Inflation - 8 cities, 1 year lagged (Jun to Jun)</t>
  </si>
  <si>
    <t>Decision Inflation (Amended)</t>
  </si>
  <si>
    <t>Index - $2014 to Nominal (using outturn inflation)</t>
  </si>
  <si>
    <t>Index - $2015 to nominal (using outturn inflation)</t>
  </si>
  <si>
    <t>Index - $2015 to nominal (using Decision inflation)</t>
  </si>
  <si>
    <t>Index - $2016 to nominal (using Decision inflation)</t>
  </si>
  <si>
    <t>Conversion factor - Mid Year $Nominal to End $2015</t>
  </si>
  <si>
    <t>(8 cities, 1 year lagged)</t>
  </si>
  <si>
    <t>Actual Wage Price Growth</t>
  </si>
  <si>
    <t>EGWWS WPI (Vic) real rate of change</t>
  </si>
  <si>
    <t>Construction WPI (Aus) real rate of change</t>
  </si>
  <si>
    <t>(source: ABS WPI industry data adjusted for actual inflation)</t>
  </si>
  <si>
    <t>Forecast Wage Price Growth</t>
  </si>
  <si>
    <t>Real escalation value (%)</t>
  </si>
  <si>
    <t>Cost Drivers</t>
  </si>
  <si>
    <t>Labour escalators</t>
  </si>
  <si>
    <t>Electricity Gas Water and Waste Services Wage Price Index (Internal labour)</t>
  </si>
  <si>
    <t>Construction Wage Price Index (External labour)</t>
  </si>
  <si>
    <t>(source: AER information request #049 - AusNet Services - Real escalation input cost indices, 8th March 2016)</t>
  </si>
  <si>
    <t>Labour index for Capital costs</t>
  </si>
  <si>
    <t>Internal labour index (applied to labour costs in $2015)</t>
  </si>
  <si>
    <t>External labour index (applied to labour costs in $2015)</t>
  </si>
  <si>
    <t>Labour index for Operating &amp; Maintenance costs</t>
  </si>
  <si>
    <t>WPI - EGWWS (Vic)</t>
  </si>
  <si>
    <t>Labour index (applied to labour costs in $2015)</t>
  </si>
  <si>
    <t>Labour / Non Labour splits</t>
  </si>
  <si>
    <t>Labour</t>
  </si>
  <si>
    <t>Non Labour</t>
  </si>
  <si>
    <t>(source: EDPR Final Decision Opex model - rate of change)</t>
  </si>
  <si>
    <t>Thousands</t>
  </si>
  <si>
    <t>Internal Labour rates</t>
  </si>
  <si>
    <t>Labour rates effective from 22-01-2014 (source: Expert Estimator tool)</t>
  </si>
  <si>
    <t>$/hr</t>
  </si>
  <si>
    <t>Notes</t>
  </si>
  <si>
    <t>Operational Staff Labour Rate (Tester/Controller/Operator/Applicant, etc)</t>
  </si>
  <si>
    <t>Engineering &amp; Professional Services Labour Rate</t>
  </si>
  <si>
    <t>Asset Management Engineer</t>
  </si>
  <si>
    <t>Project Manager</t>
  </si>
  <si>
    <t>Front Line Leader</t>
  </si>
  <si>
    <t>Site Manager Build</t>
  </si>
  <si>
    <t>Regulation &amp; Network Strategy team</t>
  </si>
  <si>
    <t>Legal team</t>
  </si>
  <si>
    <t>RAB / Asset Class</t>
  </si>
  <si>
    <t>Benchmark Expenditure Categories</t>
  </si>
  <si>
    <t>Cost Classification</t>
  </si>
  <si>
    <t>Capex</t>
  </si>
  <si>
    <t>Distribution system assets</t>
  </si>
  <si>
    <t>Connections</t>
  </si>
  <si>
    <t>Opex</t>
  </si>
  <si>
    <t>Non-network general assets - IT</t>
  </si>
  <si>
    <t>Non-network</t>
  </si>
  <si>
    <t>Non-network general assets - Other</t>
  </si>
  <si>
    <t>Capitalised network overheads</t>
  </si>
  <si>
    <t>Capitalised corporate overheads</t>
  </si>
  <si>
    <t>Cap Cons</t>
  </si>
  <si>
    <t>Station / REFCL no</t>
  </si>
  <si>
    <t>Short Nm</t>
  </si>
  <si>
    <t>Direct Cost Unit Rates - $000's, Real $2019</t>
  </si>
  <si>
    <t>Confidential</t>
  </si>
  <si>
    <t>Zone Substation works Unit Rates</t>
  </si>
  <si>
    <t>Primary Plant</t>
  </si>
  <si>
    <t>Unit</t>
  </si>
  <si>
    <t>Volumes by Station</t>
  </si>
  <si>
    <t>Category</t>
  </si>
  <si>
    <t>Description</t>
  </si>
  <si>
    <t>Rate ($k)</t>
  </si>
  <si>
    <t>Classification</t>
  </si>
  <si>
    <t>Contracts</t>
  </si>
  <si>
    <t>Station service transformer (500 kVA)</t>
  </si>
  <si>
    <t>Replace or install new station service transformer (500 kVA)</t>
  </si>
  <si>
    <t>Station service transformer (750 kVA)</t>
  </si>
  <si>
    <t>Replace or install new station service transformer (750 kVA)</t>
  </si>
  <si>
    <t>Capacitance reducing isolation substation (10 MVA)</t>
  </si>
  <si>
    <t>Install capacitance reducing isolation substation (10 MVA)</t>
  </si>
  <si>
    <t>AC changeover board - Station</t>
  </si>
  <si>
    <t>Installation of outdoor changeover board</t>
  </si>
  <si>
    <t>AC changeover board - REFCL</t>
  </si>
  <si>
    <t>Installation of outdoor changeover board suitable for uprated Station Service Tx, incl. footing</t>
  </si>
  <si>
    <t>AC C/O board footing</t>
  </si>
  <si>
    <t>Arc Suppression Coil</t>
  </si>
  <si>
    <t>Installation of ASC</t>
  </si>
  <si>
    <t>ASC footing</t>
  </si>
  <si>
    <t>Install new footing and associated bunding for GFN ASC unit</t>
  </si>
  <si>
    <t>22kV switchboard  - Metro</t>
  </si>
  <si>
    <t>Installation of 22 kV switchboard  - Metro</t>
  </si>
  <si>
    <t>22kV switchboard  - Rural</t>
  </si>
  <si>
    <t>Installation of 22 kV switchboard  - Rural</t>
  </si>
  <si>
    <t>22kV switchboard (no building) - Rural</t>
  </si>
  <si>
    <t>Installation of 22 kV switchboard only (no building) - Rural</t>
  </si>
  <si>
    <t>22kV Capacitor Banks</t>
  </si>
  <si>
    <t>Installation of 22 kV capacitor banks</t>
  </si>
  <si>
    <t>Installation of 2x3 MVAr Capacitor Bank</t>
  </si>
  <si>
    <t>Installation of 4x3 MVAr Capacitor Bank</t>
  </si>
  <si>
    <t>22kV Capacitor Bank - Modify</t>
  </si>
  <si>
    <t>Modify existing capacitor bank</t>
  </si>
  <si>
    <t>Cap Bank footing</t>
  </si>
  <si>
    <t>22kV Dead Tank Circuit Breaker</t>
  </si>
  <si>
    <t>22kV Dead Tank Circuit Breaker 3150A, 40kA</t>
  </si>
  <si>
    <t>22kV U/S Isolator</t>
  </si>
  <si>
    <t>22kV Underslung Isolator</t>
  </si>
  <si>
    <t>22KV Feeder Exit</t>
  </si>
  <si>
    <t>22kV Voltage Transformer</t>
  </si>
  <si>
    <t>22kV Current Transformer</t>
  </si>
  <si>
    <t>22kV Zero Sequence CTs</t>
  </si>
  <si>
    <t>Install core balance zero sequence current transformers</t>
  </si>
  <si>
    <t>22KV Surge Arrestor</t>
  </si>
  <si>
    <t>Transformer Neutral Isolator</t>
  </si>
  <si>
    <t xml:space="preserve">Neutral Bus </t>
  </si>
  <si>
    <t xml:space="preserve">Installation of neutral bus </t>
  </si>
  <si>
    <t xml:space="preserve">REFCL control room </t>
  </si>
  <si>
    <t>Installation of the REFCL control room only - no protection panels</t>
  </si>
  <si>
    <t>2 REFCL control room</t>
  </si>
  <si>
    <t>Installation of the REFCL control room only - no protection panels - supports 2 GFNs</t>
  </si>
  <si>
    <t>Battery Room (single battery set)</t>
  </si>
  <si>
    <t>Installation of modular battery room including batteries (1 set of)</t>
  </si>
  <si>
    <t>Battery Room (2 battery sets)</t>
  </si>
  <si>
    <t xml:space="preserve">Installation of modular battery room including batteries (2 sets of) </t>
  </si>
  <si>
    <t>New Control Building</t>
  </si>
  <si>
    <t xml:space="preserve">Installation of modular control building room </t>
  </si>
  <si>
    <t>Primary Cables - 22kV</t>
  </si>
  <si>
    <t>Tx to Switchboard 22kV 630mm2 XLPE single phase  (35mx6)</t>
  </si>
  <si>
    <t>S/S to Switchboard 22kV 185mm2 XLPE single phase (30mx3)</t>
  </si>
  <si>
    <t>ASC to Neutral Bus 22kV 95mm2 XLPE single phase (15m)</t>
  </si>
  <si>
    <t>Feeder Exit Cables - 22kV</t>
  </si>
  <si>
    <t>Feeder Exit Cables - 22kV 300mm (per metre)</t>
  </si>
  <si>
    <t>Primary Cable Testing</t>
  </si>
  <si>
    <t>Testing of station 22 kV Cables</t>
  </si>
  <si>
    <t>Oil separator</t>
  </si>
  <si>
    <t>Installation of Oil separator / Puraceptor</t>
  </si>
  <si>
    <t>One Tilt Slab control room</t>
  </si>
  <si>
    <t>Installation of a tilt slab building</t>
  </si>
  <si>
    <t>ASC only</t>
  </si>
  <si>
    <t>Protection &amp; Control</t>
  </si>
  <si>
    <t>Neutral Bus controller - 1 GFN</t>
  </si>
  <si>
    <t xml:space="preserve">Installation of neutral bus controller </t>
  </si>
  <si>
    <t>Neutral Bus controller - 2 GFNs</t>
  </si>
  <si>
    <t>Protection – GFN panels</t>
  </si>
  <si>
    <t xml:space="preserve">Interface, control panel and inverter </t>
  </si>
  <si>
    <t>GFN interface relay</t>
  </si>
  <si>
    <t>Power Quality/Switchgear Interface</t>
  </si>
  <si>
    <t>Installation of Panel with 2 Power Quality Meters &amp; 1 Switchgear interface relay</t>
  </si>
  <si>
    <t>Power Quality Non Std</t>
  </si>
  <si>
    <t>Installation of Panel with 6 Power Quality Meters</t>
  </si>
  <si>
    <t>Switchgear Interface Non Std</t>
  </si>
  <si>
    <t>Installation of Panel with 3 switchgear interface relays</t>
  </si>
  <si>
    <t>Capacitor Bank Prot &amp; Cntl (3x3MVAr)</t>
  </si>
  <si>
    <t>Installation of Panel for Prot &amp; Cntl of 3 x 3MVAr Capacitor Bank</t>
  </si>
  <si>
    <t>Capacitor Bank Prot &amp; Cntl (2x3MVAr)</t>
  </si>
  <si>
    <t>Installation of Panel for Prot &amp; Cntl of 2 x 3MVAr Capacitor Bank</t>
  </si>
  <si>
    <t>Remote Terminal Unit</t>
  </si>
  <si>
    <t>Install new RTU (existing MD1000 incapable of handling traffic of new relays)</t>
  </si>
  <si>
    <t>SCIMS system - small</t>
  </si>
  <si>
    <t>Install a new Substation Automation panel (SCIMS) in existing control room</t>
  </si>
  <si>
    <t>Network Balancing Unit Rates</t>
  </si>
  <si>
    <t xml:space="preserve">Design </t>
  </si>
  <si>
    <t>Design activities to determine network balancing requirements, validate balancing and record balancing information – per feeder</t>
  </si>
  <si>
    <t>WYK2 rate</t>
  </si>
  <si>
    <t>Other stations rate</t>
  </si>
  <si>
    <t xml:space="preserve">Third conductor installation </t>
  </si>
  <si>
    <t xml:space="preserve">Install 3rd conductor – per span </t>
  </si>
  <si>
    <t xml:space="preserve">Unbonding cable </t>
  </si>
  <si>
    <t xml:space="preserve">Unbounding cable at either end – per location </t>
  </si>
  <si>
    <t xml:space="preserve">Phase rotation </t>
  </si>
  <si>
    <t xml:space="preserve">Rotate phases – per rotation </t>
  </si>
  <si>
    <t>Balancing capacitors</t>
  </si>
  <si>
    <t>Install balancing capacitors (single or three phase) – per installation</t>
  </si>
  <si>
    <t xml:space="preserve">Inherent works </t>
  </si>
  <si>
    <t>Activities including the development of balancing capacitor solution, modification of Asset Management Systems - per feeder</t>
  </si>
  <si>
    <t>Inherent works  - various feeder based works</t>
  </si>
  <si>
    <t>Phase plate correction - per feeder and RC sections</t>
  </si>
  <si>
    <t>Phase plate correction</t>
  </si>
  <si>
    <t>Protection reviews for fuse removals and installation of solid link - per fuse</t>
  </si>
  <si>
    <t>Fuse removal and install solid link</t>
  </si>
  <si>
    <t>Installation of fusesaver and remote control unit - per site</t>
  </si>
  <si>
    <t>Install fusesaver and control box - per site</t>
  </si>
  <si>
    <t xml:space="preserve">Install new ACR for switching </t>
  </si>
  <si>
    <t>Install new ACR for switching</t>
  </si>
  <si>
    <t>Purchase of phase identification tools - G3 Phase ID probe</t>
  </si>
  <si>
    <t>- Base station</t>
  </si>
  <si>
    <t>Line Hardening Unit Rates</t>
  </si>
  <si>
    <t xml:space="preserve">Surge arrestor </t>
  </si>
  <si>
    <t>Replace surge arrestor on existing structure - per site</t>
  </si>
  <si>
    <t>- per unit</t>
  </si>
  <si>
    <t>Cables</t>
  </si>
  <si>
    <t>Cable On-Line Testing</t>
  </si>
  <si>
    <t>Cable Off-Line Testing</t>
  </si>
  <si>
    <t>Cable - Replace Fitting</t>
  </si>
  <si>
    <t>Cable - Replace Cable Section - per m</t>
  </si>
  <si>
    <t>$550 per m</t>
  </si>
  <si>
    <t>CERA Removal and Replacement with 900kVAr Pole Top Capacitor</t>
  </si>
  <si>
    <t>Compatible Equipment Unit Rates</t>
  </si>
  <si>
    <t xml:space="preserve">ACR upgrade </t>
  </si>
  <si>
    <t xml:space="preserve">Replace control box on ACR </t>
  </si>
  <si>
    <t xml:space="preserve">ACR replacement </t>
  </si>
  <si>
    <t xml:space="preserve">Replace pole-mounted ACR </t>
  </si>
  <si>
    <t xml:space="preserve">Voltage regulator upgrade </t>
  </si>
  <si>
    <t xml:space="preserve">Replace control box on voltage regulator </t>
  </si>
  <si>
    <t xml:space="preserve">Voltage regulator replacement </t>
  </si>
  <si>
    <t xml:space="preserve">Replace voltage regulator </t>
  </si>
  <si>
    <t>Code Compliance Unit Rates</t>
  </si>
  <si>
    <t>Code compliance</t>
  </si>
  <si>
    <t>Install isolating transformer and associated equipment adjacent to high-voltage customer – per site, 3.0 MVA substation</t>
  </si>
  <si>
    <t>not applicable</t>
  </si>
  <si>
    <t>5 MVA substation</t>
  </si>
  <si>
    <t>7.5 MVA substation</t>
  </si>
  <si>
    <t>ACR</t>
  </si>
  <si>
    <t>Line Hardening</t>
  </si>
  <si>
    <t>Reliability maintained Unit Rates</t>
  </si>
  <si>
    <t xml:space="preserve">Remote control switch </t>
  </si>
  <si>
    <t>Replace remote controlled switch on existing structure - Design</t>
  </si>
  <si>
    <t>- DFA2 software changes to SCADA</t>
  </si>
  <si>
    <t>- Materials supply and deployment of switches</t>
  </si>
  <si>
    <t>Live Line Equipment Purchases Unit Rates</t>
  </si>
  <si>
    <t>Mid-span Isolator units</t>
  </si>
  <si>
    <t>Devices used to reduce the outage area in the distribution network.  Set of isolators that are cut into a line between two poles (i.e., mid-span) to provide a temporary break in connection. After an outage devices can be re-used elswhere on the network.</t>
  </si>
  <si>
    <t>Rigid Hoppers</t>
  </si>
  <si>
    <t>Cable with clamp at each end that is placed inside an insulating tube.</t>
  </si>
  <si>
    <t>Line cut-out tools</t>
  </si>
  <si>
    <t>Set of tools used to cut into a line, e.g., for temporary installation of mid-span isolators</t>
  </si>
  <si>
    <t xml:space="preserve">New Line Hoses </t>
  </si>
  <si>
    <t>New Line Hoses (to replace Hard Covers) on 22kV lines</t>
  </si>
  <si>
    <t>Direct Cost Unit Rates - $000's, Real $2015</t>
  </si>
  <si>
    <t>Total Direct ($k, $2019)</t>
  </si>
  <si>
    <t>Total Internal Labour (hours)</t>
  </si>
  <si>
    <t>$/Unit ($2019)</t>
  </si>
  <si>
    <t>QTY</t>
  </si>
  <si>
    <t>UOM</t>
  </si>
  <si>
    <t>Chk</t>
  </si>
  <si>
    <t>Project Engineer</t>
  </si>
  <si>
    <t>Project Engineer Build</t>
  </si>
  <si>
    <t>Operational Staff</t>
  </si>
  <si>
    <t>Total Hours</t>
  </si>
  <si>
    <t>Labour rates</t>
  </si>
  <si>
    <t>Project Management &amp; Engineering</t>
  </si>
  <si>
    <t>Project Establishment</t>
  </si>
  <si>
    <t>Project Management</t>
  </si>
  <si>
    <t>Project Close-out, Testing &amp; Commissioning</t>
  </si>
  <si>
    <t>Community Engagement</t>
  </si>
  <si>
    <t>ea</t>
  </si>
  <si>
    <t>p/mtr</t>
  </si>
  <si>
    <t>SCADA / Protection &amp; Control/ Comms</t>
  </si>
  <si>
    <t>22kV Protection &amp; Control Modifications</t>
  </si>
  <si>
    <t>Other protection works</t>
  </si>
  <si>
    <t>Other AC &amp; DC supplies</t>
  </si>
  <si>
    <t>Civil works</t>
  </si>
  <si>
    <t>22kV switchyard - install new puraceptor</t>
  </si>
  <si>
    <t>- Other</t>
  </si>
  <si>
    <t>Construction delivery &amp; site control</t>
  </si>
  <si>
    <t>Land purchase</t>
  </si>
  <si>
    <t>Check</t>
  </si>
  <si>
    <t>Feeder works</t>
  </si>
  <si>
    <t>Material $/Unit</t>
  </si>
  <si>
    <t>Subtotal feeder works</t>
  </si>
  <si>
    <t>Design, Project Management &amp; Engineering costs allocation</t>
  </si>
  <si>
    <t>Capacitance reducing isolation substation (7.5 MVA)</t>
  </si>
  <si>
    <t>Install capacitance reducing isolation substation (7.5 MVA)</t>
  </si>
  <si>
    <t>SOURCE: ASD - Attachment 22 - AST Contingent Project 3 Total Cost Model_CONFIDENTIAL (AER &amp; AST amended)_19.09.19.xlsx</t>
  </si>
  <si>
    <t>Program phasing - 6 monthly</t>
  </si>
  <si>
    <t>22kV Capacitor Bank (2x3 MVAr) - type 4</t>
  </si>
  <si>
    <t>22kV Capacitor Bank (2x3 MVAr) - type 2</t>
  </si>
  <si>
    <t>22kV Capacitor Bank (4 x3 MVAr) - type 3</t>
  </si>
  <si>
    <t>Power transformer - 66/22kV 15/20MVA</t>
  </si>
  <si>
    <t>Transformer - 66/22kV 15/20MVA</t>
  </si>
  <si>
    <t>22kV Neutral Earthing Resistors</t>
  </si>
  <si>
    <t>Design - Internal/External</t>
  </si>
  <si>
    <t>Buildings</t>
  </si>
  <si>
    <t>Earthworks</t>
  </si>
  <si>
    <t>Infrastructure - Services</t>
  </si>
  <si>
    <t>Metering &amp; System Monitoring</t>
  </si>
  <si>
    <t>66kV Line Protection Panel</t>
  </si>
  <si>
    <t>66kV Substation Protection Panel (transformer &amp; bus)</t>
  </si>
  <si>
    <t>66/22kV Transformer Voltage Control &amp; Regulation Cubicle</t>
  </si>
  <si>
    <t>66/22kV Transformer Voltage Control &amp; Regulation Cubicle (A-EBERLE)</t>
  </si>
  <si>
    <t>22kV Indoor Switchgear - Transformers</t>
  </si>
  <si>
    <t>66kV Bay - Ring Bus</t>
  </si>
  <si>
    <t>66kV Exit - Line Feeder</t>
  </si>
  <si>
    <t>66kV Exit - Transformer</t>
  </si>
  <si>
    <t>66kV Bay - Ring Bus (and 66kV vacant bay)</t>
  </si>
  <si>
    <t>Earth Grid</t>
  </si>
  <si>
    <t>Earth Grid (4,900 m2)</t>
  </si>
  <si>
    <t>Substation Protection Panel (66/22kV Transformer &amp; 66kV bus)</t>
  </si>
  <si>
    <t>ADSS per km (Installed on Existing Poles)</t>
  </si>
  <si>
    <t>km</t>
  </si>
  <si>
    <t>Stays</t>
  </si>
  <si>
    <t>Supervision, Traffic Control, Set-Up Site &amp; Clean-Up</t>
  </si>
  <si>
    <t>Conductor (19/4.75 AAC)</t>
  </si>
  <si>
    <t>Conductor (19/3.25 AAC)</t>
  </si>
  <si>
    <t>OPGW Joint Box (Installed &amp; Terminated on Existing Tower/Pole)</t>
  </si>
  <si>
    <t>Cross Arms 66kV - Intermediate &amp; Strain (incl. insulators &amp; hardware)</t>
  </si>
  <si>
    <t>Conductor (19/4.75 AAC) - Per km, installed</t>
  </si>
  <si>
    <t>Conductor (19/3.25 AAC) - Per km, installed</t>
  </si>
  <si>
    <t>Cross Arms 66kV - Intermediate &amp; Strain</t>
  </si>
  <si>
    <t>Gas Switch</t>
  </si>
  <si>
    <t>22kV Underground Cable (150m)</t>
  </si>
  <si>
    <t>Cross Arms 22kV LV - Intermediate &amp; Strain</t>
  </si>
  <si>
    <t>Cross Arms 22kV HV - Intermediate &amp; Strain</t>
  </si>
  <si>
    <t>Cross Arms 22kV HV - Intermediate &amp; Strain (incl. insulators &amp; hardware)</t>
  </si>
  <si>
    <t>Cross Arms 22kV LV - Intermediate &amp; Strain (Incl. Insulators &amp; Hardware)</t>
  </si>
  <si>
    <t>Primary</t>
  </si>
  <si>
    <t>Secondary</t>
  </si>
  <si>
    <t>Lines</t>
  </si>
  <si>
    <t>XLPE 3 Core 22kV Cable</t>
  </si>
  <si>
    <t xml:space="preserve">Pole - Concrete 15.5m, 12kN working load (24kN ultimate) </t>
  </si>
  <si>
    <t>Concrete Poles 15.5m (includes installation), per pole</t>
  </si>
  <si>
    <t>Concrete Poles 20m (includes installation), per pole</t>
  </si>
  <si>
    <t>Gas Switch (supply only)</t>
  </si>
  <si>
    <t>Additional Primary Plant, Secondary and Lines Unit Rates - per IR#004A (14/04/2020)</t>
  </si>
  <si>
    <t>ADSS Fibre Optic Cable</t>
  </si>
  <si>
    <t>Vegetation Clearing</t>
  </si>
  <si>
    <t>Pole - Concrete 20m, 16kN working load, includes installation</t>
  </si>
  <si>
    <t>&lt;spare&gt;</t>
  </si>
  <si>
    <t>KLO</t>
  </si>
  <si>
    <t>check</t>
  </si>
  <si>
    <t>Kalkallo Zone Substation works</t>
  </si>
  <si>
    <t>Station service transformer (1 MVA)</t>
  </si>
  <si>
    <t>Replace or install new station service transformer (1 MVA)</t>
  </si>
  <si>
    <t>Decommission existing 10/16MVA Transformer</t>
  </si>
  <si>
    <t>Power transformer - 66/22kV 20/33MVA</t>
  </si>
  <si>
    <t>Installation of transformer - 66/22kV 20/33MVA</t>
  </si>
  <si>
    <t>66kV Surge Arrestor</t>
  </si>
  <si>
    <t>66kV 800A Rotary Disconnect</t>
  </si>
  <si>
    <t>66kV Dead Tank Circuit Breaker</t>
  </si>
  <si>
    <t>66kv Dead Tank Circuit Breaker</t>
  </si>
  <si>
    <t>66kV U/S Isolator</t>
  </si>
  <si>
    <t>66kV Unuderslung Isolator</t>
  </si>
  <si>
    <t>Underground HV ABC</t>
  </si>
  <si>
    <t>Convert existing pole to hybrid fused substation</t>
  </si>
  <si>
    <t>Underground HV ABC ($per metre)</t>
  </si>
  <si>
    <t>Capacitance reducing isolation substation (12.5 MVA)</t>
  </si>
  <si>
    <t>Station service transformer (200 kVA)</t>
  </si>
  <si>
    <t>Capacitance reducing isolation substation (300 kVA)</t>
  </si>
  <si>
    <t>Install capacitance reducing isolation substation (300 kVA)</t>
  </si>
  <si>
    <t>High Impedance Busbar Protection cubicle</t>
  </si>
  <si>
    <t>New ACR unit and control box</t>
  </si>
  <si>
    <t>Install capacitance reducing isolation substation (12.5 MVA) incl. footing</t>
  </si>
  <si>
    <t>Replace or install new station service transformer (200 kVA) incl. footing</t>
  </si>
  <si>
    <t>Subtotal Remote REFCL works</t>
  </si>
  <si>
    <t>Type 3 REFCL control room</t>
  </si>
  <si>
    <t>Installation of REFCL control room with customised non-standard panels (incl. footing)</t>
  </si>
  <si>
    <t>Remote REFCLs</t>
  </si>
  <si>
    <t>22kV Underground Cable 300mm2 XLPE</t>
  </si>
  <si>
    <t>XLPE 3 Core 22kV Cable (includes trench and install conduit)</t>
  </si>
  <si>
    <t>Inherent works</t>
  </si>
  <si>
    <t>Isolation Transformers</t>
  </si>
  <si>
    <t>Install three isolation transformers</t>
  </si>
  <si>
    <t xml:space="preserve">Subtotal Install three isolation transformers </t>
  </si>
  <si>
    <t>22kV Underground Cable 185mm2 XLPE</t>
  </si>
  <si>
    <t>22KV cable terminations</t>
  </si>
  <si>
    <t>Capacitance reducing isolation substation (1 MVA)</t>
  </si>
  <si>
    <t>Install capacitance reducing isolation substation (1 MVA)</t>
  </si>
  <si>
    <t>Decommission and remove existing conductor (route length) at various locations - includes AAC, ASCR, Steel</t>
  </si>
  <si>
    <t>Concrete Poles 15.5m Replacement (includes installation), per pole</t>
  </si>
  <si>
    <t>Input for Capex model (2021-26) - Mid $2018</t>
  </si>
  <si>
    <t>AusNet Services - REFCL CAPEX Forecast</t>
  </si>
  <si>
    <t>22KV LINES KLO14</t>
  </si>
  <si>
    <t>Overhead 22kV lines</t>
  </si>
  <si>
    <t>Install 151mm2 Covered Aluminium Conductor</t>
  </si>
  <si>
    <t>Install 62mm2 Covered Steel Conductor</t>
  </si>
  <si>
    <t>Intsall 62mm2 Covered Steel Conductor</t>
  </si>
  <si>
    <t>22KV LINES KLO24</t>
  </si>
  <si>
    <t>Underground feeders</t>
  </si>
  <si>
    <t>Subtotal 22kV Overhead Lines</t>
  </si>
  <si>
    <t>Subtotal Underground feeders</t>
  </si>
  <si>
    <t>p/m</t>
  </si>
  <si>
    <t>Vegetation Clearing - Light 66kV/22kV Line (Per km)</t>
  </si>
  <si>
    <t>Vegetation Clearing - Light 22kV Line (1.01km):-</t>
  </si>
  <si>
    <t>Cross Arms 22kV HV - Intermediate &amp; Strain (Replacement)</t>
  </si>
  <si>
    <t>High level phasing of revised KLO solution</t>
  </si>
  <si>
    <t>Kalkallo Zone Substation works - Revised solution</t>
  </si>
  <si>
    <t>Purpose</t>
  </si>
  <si>
    <t>Capex Summary by Asset Class - KLO</t>
  </si>
  <si>
    <t xml:space="preserve">RIN category </t>
  </si>
  <si>
    <t>Actual</t>
  </si>
  <si>
    <t>Project Desc</t>
  </si>
  <si>
    <t>CY2016</t>
  </si>
  <si>
    <t>CY2017</t>
  </si>
  <si>
    <t>CY2018</t>
  </si>
  <si>
    <t>Comment</t>
  </si>
  <si>
    <t>REFCL T3 ZS WORK - KLO</t>
  </si>
  <si>
    <t>AUGEX</t>
  </si>
  <si>
    <t>REFCL T3  SURGE ARRESTORS - KLO</t>
  </si>
  <si>
    <t>REPEX</t>
  </si>
  <si>
    <t>REFCL T3 NETWORK BALANCING - KLO</t>
  </si>
  <si>
    <t>Network balancing not yet commenced for T3 KLO sites</t>
  </si>
  <si>
    <t>REFCL T1  SURGE ARRESTORS - KLO</t>
  </si>
  <si>
    <t>Under T1, 127 sites completed for KLO14 transfer feeder and a portion of the feeder has been balanced.</t>
  </si>
  <si>
    <t>REFCL T1 NETWORK BALANCING - KLO</t>
  </si>
  <si>
    <t>Total KLO costs incurred - $Nominal</t>
  </si>
  <si>
    <t>CY2019</t>
  </si>
  <si>
    <t>CPI Index - Mid Year Nominal to $Jun 2021</t>
  </si>
  <si>
    <t>Remote REFCL &amp; Isolation Substation works</t>
  </si>
  <si>
    <t>Subtotal Remote REFCL &amp; Isolation Substation works</t>
  </si>
  <si>
    <t>Total Remote REFCL &amp; Isolation Substation works</t>
  </si>
  <si>
    <t>Capacitance reducing isolation substation (5 / 7.5 MVA)</t>
  </si>
  <si>
    <t>Install capacitance reducing isolation substation (5 / 7.5 MVA) incl. footing</t>
  </si>
  <si>
    <t>22kV Line Protection Panel</t>
  </si>
  <si>
    <t>66/22kV Transformer Protection Panel</t>
  </si>
  <si>
    <t>Surge Arrestor</t>
  </si>
  <si>
    <t>CY2020</t>
  </si>
  <si>
    <t>KLO Zone substation works currently in planning phase.  LTD costs as at 31 Oct 2020 includes a joint planning report from WSP for the KLO solution (AusNet cost portion $72.5k excl GST)</t>
  </si>
  <si>
    <t>Includes 33 sites completed so far for T3 KLO.</t>
  </si>
  <si>
    <t>Direct Cost Composition</t>
  </si>
  <si>
    <t>P50 Total - $2019</t>
  </si>
  <si>
    <t>P50 Total - $2020</t>
  </si>
  <si>
    <t>&lt;Spare&gt;</t>
  </si>
  <si>
    <t>CPI - $2019 to $2020</t>
  </si>
  <si>
    <t>Proposed real wage escalator CY20</t>
  </si>
  <si>
    <t>Escalator</t>
  </si>
  <si>
    <t>Direct Expenditure - $Nominal ($0's)</t>
  </si>
  <si>
    <t>2016 to 2019 actual costs per IR#004A</t>
  </si>
  <si>
    <t>Table 1: Kalkallo - Actual costs incurred - "Direct Costs basis"</t>
  </si>
  <si>
    <t>Total KLO T3 costs incurred - real $Jun-21</t>
  </si>
  <si>
    <t>ASD inserted</t>
  </si>
  <si>
    <t>Remote REFCL works</t>
  </si>
  <si>
    <t>Total Remote works</t>
  </si>
  <si>
    <t>Subtotal Lines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</si>
</sst>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000"/>
    <numFmt numFmtId="167" formatCode="0.00000"/>
    <numFmt numFmtId="168" formatCode="0.0"/>
    <numFmt numFmtId="169" formatCode="#,##0.0"/>
    <numFmt numFmtId="170" formatCode="_-* #,##0.0_-;\-* #,##0.0_-;_-* &quot;-&quot;?_-;_-@_-"/>
    <numFmt numFmtId="171" formatCode="0.0%"/>
    <numFmt numFmtId="172" formatCode="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rgb="FFFFFFFF"/>
      <name val="Arial"/>
      <family val="2"/>
    </font>
    <font>
      <i/>
      <sz val="11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color theme="3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name val="Arial"/>
      <family val="2"/>
    </font>
    <font>
      <sz val="11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DCE6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8" fillId="11" borderId="0" applyNumberFormat="0" applyBorder="0" applyAlignment="0" applyProtection="0"/>
    <xf numFmtId="0" fontId="34" fillId="0" borderId="0"/>
  </cellStyleXfs>
  <cellXfs count="407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/>
    <xf numFmtId="165" fontId="0" fillId="0" borderId="0" xfId="1" applyNumberFormat="1" applyFont="1"/>
    <xf numFmtId="164" fontId="0" fillId="0" borderId="0" xfId="0" applyNumberFormat="1"/>
    <xf numFmtId="9" fontId="0" fillId="0" borderId="0" xfId="2" applyFont="1"/>
    <xf numFmtId="164" fontId="0" fillId="0" borderId="2" xfId="0" applyNumberFormat="1" applyBorder="1"/>
    <xf numFmtId="9" fontId="0" fillId="0" borderId="0" xfId="0" applyNumberFormat="1"/>
    <xf numFmtId="0" fontId="0" fillId="0" borderId="0" xfId="0" applyAlignment="1">
      <alignment horizontal="center" wrapText="1"/>
    </xf>
    <xf numFmtId="164" fontId="2" fillId="0" borderId="1" xfId="0" applyNumberFormat="1" applyFont="1" applyBorder="1"/>
    <xf numFmtId="0" fontId="3" fillId="0" borderId="0" xfId="0" applyFont="1"/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164" fontId="2" fillId="3" borderId="1" xfId="0" applyNumberFormat="1" applyFont="1" applyFill="1" applyBorder="1"/>
    <xf numFmtId="17" fontId="0" fillId="0" borderId="0" xfId="0" applyNumberFormat="1" applyAlignment="1">
      <alignment horizontal="center"/>
    </xf>
    <xf numFmtId="0" fontId="4" fillId="0" borderId="0" xfId="0" applyFont="1"/>
    <xf numFmtId="164" fontId="0" fillId="4" borderId="0" xfId="0" applyNumberFormat="1" applyFill="1"/>
    <xf numFmtId="164" fontId="0" fillId="4" borderId="2" xfId="0" applyNumberFormat="1" applyFill="1" applyBorder="1"/>
    <xf numFmtId="164" fontId="2" fillId="0" borderId="0" xfId="0" applyNumberFormat="1" applyFont="1"/>
    <xf numFmtId="43" fontId="0" fillId="0" borderId="0" xfId="0" applyNumberFormat="1"/>
    <xf numFmtId="0" fontId="0" fillId="0" borderId="0" xfId="0" applyFill="1"/>
    <xf numFmtId="0" fontId="3" fillId="0" borderId="0" xfId="0" applyFont="1" applyFill="1"/>
    <xf numFmtId="0" fontId="8" fillId="0" borderId="0" xfId="0" applyFont="1"/>
    <xf numFmtId="10" fontId="0" fillId="0" borderId="0" xfId="2" applyNumberFormat="1" applyFont="1"/>
    <xf numFmtId="10" fontId="0" fillId="0" borderId="0" xfId="2" applyNumberFormat="1" applyFont="1" applyFill="1"/>
    <xf numFmtId="10" fontId="0" fillId="0" borderId="0" xfId="0" applyNumberFormat="1"/>
    <xf numFmtId="0" fontId="0" fillId="4" borderId="0" xfId="0" applyFill="1"/>
    <xf numFmtId="166" fontId="0" fillId="4" borderId="0" xfId="0" applyNumberFormat="1" applyFill="1"/>
    <xf numFmtId="166" fontId="0" fillId="0" borderId="0" xfId="0" applyNumberFormat="1"/>
    <xf numFmtId="0" fontId="9" fillId="0" borderId="0" xfId="0" applyFont="1"/>
    <xf numFmtId="0" fontId="10" fillId="0" borderId="0" xfId="0" applyFont="1"/>
    <xf numFmtId="0" fontId="11" fillId="6" borderId="0" xfId="0" applyFont="1" applyFill="1" applyAlignment="1">
      <alignment vertical="center" wrapText="1"/>
    </xf>
    <xf numFmtId="0" fontId="11" fillId="6" borderId="15" xfId="0" applyFont="1" applyFill="1" applyBorder="1" applyAlignment="1">
      <alignment horizontal="center" vertical="center"/>
    </xf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3" fillId="0" borderId="17" xfId="0" applyFont="1" applyBorder="1" applyAlignment="1">
      <alignment horizontal="right" vertical="center"/>
    </xf>
    <xf numFmtId="0" fontId="14" fillId="0" borderId="16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3" fillId="0" borderId="17" xfId="0" applyFont="1" applyBorder="1" applyAlignment="1">
      <alignment horizontal="center" vertical="center"/>
    </xf>
    <xf numFmtId="0" fontId="14" fillId="0" borderId="16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166" fontId="0" fillId="0" borderId="0" xfId="1" applyNumberFormat="1" applyFont="1" applyFill="1"/>
    <xf numFmtId="167" fontId="0" fillId="0" borderId="0" xfId="0" applyNumberFormat="1"/>
    <xf numFmtId="0" fontId="0" fillId="0" borderId="2" xfId="0" applyBorder="1"/>
    <xf numFmtId="1" fontId="0" fillId="0" borderId="0" xfId="2" applyNumberFormat="1" applyFont="1"/>
    <xf numFmtId="6" fontId="0" fillId="0" borderId="0" xfId="0" quotePrefix="1" applyNumberFormat="1" applyAlignment="1">
      <alignment horizontal="center"/>
    </xf>
    <xf numFmtId="44" fontId="0" fillId="0" borderId="0" xfId="3" applyFont="1"/>
    <xf numFmtId="0" fontId="0" fillId="0" borderId="0" xfId="0" applyAlignment="1">
      <alignment vertical="center"/>
    </xf>
    <xf numFmtId="44" fontId="0" fillId="0" borderId="0" xfId="3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7" borderId="0" xfId="0" applyFill="1"/>
    <xf numFmtId="0" fontId="15" fillId="5" borderId="0" xfId="0" applyFont="1" applyFill="1" applyAlignment="1">
      <alignment horizontal="center"/>
    </xf>
    <xf numFmtId="0" fontId="7" fillId="0" borderId="0" xfId="0" applyFont="1"/>
    <xf numFmtId="0" fontId="4" fillId="0" borderId="0" xfId="0" applyFont="1" applyAlignment="1">
      <alignment vertical="center"/>
    </xf>
    <xf numFmtId="168" fontId="0" fillId="0" borderId="0" xfId="0" applyNumberFormat="1"/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/>
    <xf numFmtId="0" fontId="18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5" fillId="0" borderId="3" xfId="0" applyFont="1" applyBorder="1" applyAlignment="1">
      <alignment horizontal="center"/>
    </xf>
    <xf numFmtId="165" fontId="0" fillId="0" borderId="3" xfId="1" applyNumberFormat="1" applyFont="1" applyFill="1" applyBorder="1"/>
    <xf numFmtId="165" fontId="1" fillId="0" borderId="0" xfId="1" applyNumberFormat="1" applyFont="1" applyFill="1"/>
    <xf numFmtId="0" fontId="19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>
      <alignment horizontal="center"/>
    </xf>
    <xf numFmtId="43" fontId="0" fillId="0" borderId="3" xfId="1" applyFont="1" applyFill="1" applyBorder="1"/>
    <xf numFmtId="169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0" fillId="2" borderId="8" xfId="0" applyFill="1" applyBorder="1"/>
    <xf numFmtId="9" fontId="20" fillId="2" borderId="9" xfId="2" applyFont="1" applyFill="1" applyBorder="1"/>
    <xf numFmtId="0" fontId="1" fillId="2" borderId="9" xfId="2" applyNumberFormat="1" applyFont="1" applyFill="1" applyBorder="1"/>
    <xf numFmtId="9" fontId="1" fillId="0" borderId="0" xfId="2" applyFont="1"/>
    <xf numFmtId="0" fontId="0" fillId="2" borderId="18" xfId="0" applyFill="1" applyBorder="1" applyAlignment="1">
      <alignment horizontal="center"/>
    </xf>
    <xf numFmtId="165" fontId="0" fillId="0" borderId="3" xfId="1" applyNumberFormat="1" applyFont="1" applyBorder="1"/>
    <xf numFmtId="0" fontId="0" fillId="0" borderId="10" xfId="0" applyBorder="1"/>
    <xf numFmtId="8" fontId="0" fillId="0" borderId="3" xfId="0" applyNumberFormat="1" applyBorder="1"/>
    <xf numFmtId="0" fontId="0" fillId="0" borderId="3" xfId="0" applyBorder="1" applyAlignment="1">
      <alignment wrapText="1"/>
    </xf>
    <xf numFmtId="165" fontId="0" fillId="0" borderId="3" xfId="1" applyNumberFormat="1" applyFont="1" applyBorder="1" applyAlignment="1">
      <alignment horizontal="right" vertical="center"/>
    </xf>
    <xf numFmtId="0" fontId="18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3" xfId="1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5" fontId="0" fillId="0" borderId="3" xfId="1" applyNumberFormat="1" applyFont="1" applyFill="1" applyBorder="1" applyAlignment="1">
      <alignment vertical="center"/>
    </xf>
    <xf numFmtId="0" fontId="0" fillId="0" borderId="3" xfId="0" quotePrefix="1" applyBorder="1" applyAlignment="1">
      <alignment horizontal="right" indent="11"/>
    </xf>
    <xf numFmtId="43" fontId="0" fillId="0" borderId="0" xfId="1" applyFont="1" applyFill="1"/>
    <xf numFmtId="43" fontId="0" fillId="0" borderId="0" xfId="1" applyFont="1"/>
    <xf numFmtId="43" fontId="0" fillId="0" borderId="0" xfId="1" applyFont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3" xfId="0" quotePrefix="1" applyBorder="1"/>
    <xf numFmtId="0" fontId="0" fillId="0" borderId="3" xfId="0" applyBorder="1" applyAlignment="1">
      <alignment horizontal="left" vertical="center"/>
    </xf>
    <xf numFmtId="0" fontId="18" fillId="0" borderId="0" xfId="0" applyFont="1"/>
    <xf numFmtId="0" fontId="21" fillId="0" borderId="0" xfId="0" applyFont="1"/>
    <xf numFmtId="165" fontId="0" fillId="8" borderId="3" xfId="1" applyNumberFormat="1" applyFont="1" applyFill="1" applyBorder="1" applyAlignment="1">
      <alignment vertical="center"/>
    </xf>
    <xf numFmtId="0" fontId="21" fillId="0" borderId="3" xfId="0" applyFont="1" applyBorder="1" applyAlignment="1">
      <alignment horizontal="center"/>
    </xf>
    <xf numFmtId="0" fontId="0" fillId="0" borderId="3" xfId="0" quotePrefix="1" applyBorder="1" applyAlignment="1">
      <alignment horizontal="right" indent="2"/>
    </xf>
    <xf numFmtId="0" fontId="0" fillId="0" borderId="3" xfId="0" quotePrefix="1" applyBorder="1" applyAlignment="1">
      <alignment horizontal="right" indent="1"/>
    </xf>
    <xf numFmtId="0" fontId="15" fillId="0" borderId="0" xfId="0" applyFont="1"/>
    <xf numFmtId="0" fontId="15" fillId="0" borderId="4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2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center" wrapText="1"/>
    </xf>
    <xf numFmtId="0" fontId="2" fillId="0" borderId="10" xfId="0" applyFont="1" applyBorder="1"/>
    <xf numFmtId="165" fontId="0" fillId="0" borderId="5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165" fontId="15" fillId="0" borderId="5" xfId="1" applyNumberFormat="1" applyFont="1" applyBorder="1" applyAlignment="1">
      <alignment horizontal="center"/>
    </xf>
    <xf numFmtId="165" fontId="15" fillId="0" borderId="5" xfId="1" applyNumberFormat="1" applyFont="1" applyBorder="1" applyAlignment="1">
      <alignment horizontal="right"/>
    </xf>
    <xf numFmtId="165" fontId="15" fillId="0" borderId="5" xfId="0" applyNumberFormat="1" applyFont="1" applyBorder="1"/>
    <xf numFmtId="0" fontId="15" fillId="0" borderId="20" xfId="0" applyFont="1" applyBorder="1"/>
    <xf numFmtId="165" fontId="15" fillId="9" borderId="5" xfId="1" applyNumberFormat="1" applyFont="1" applyFill="1" applyBorder="1" applyAlignment="1">
      <alignment horizontal="center"/>
    </xf>
    <xf numFmtId="3" fontId="0" fillId="9" borderId="10" xfId="0" applyNumberFormat="1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165" fontId="0" fillId="9" borderId="5" xfId="1" applyNumberFormat="1" applyFont="1" applyFill="1" applyBorder="1" applyAlignment="1">
      <alignment horizontal="center"/>
    </xf>
    <xf numFmtId="165" fontId="15" fillId="7" borderId="5" xfId="1" applyNumberFormat="1" applyFont="1" applyFill="1" applyBorder="1" applyAlignment="1">
      <alignment horizontal="right"/>
    </xf>
    <xf numFmtId="9" fontId="15" fillId="0" borderId="0" xfId="2" applyFont="1"/>
    <xf numFmtId="165" fontId="15" fillId="7" borderId="20" xfId="1" applyNumberFormat="1" applyFont="1" applyFill="1" applyBorder="1"/>
    <xf numFmtId="0" fontId="15" fillId="9" borderId="20" xfId="0" applyFont="1" applyFill="1" applyBorder="1"/>
    <xf numFmtId="0" fontId="0" fillId="0" borderId="12" xfId="0" applyBorder="1"/>
    <xf numFmtId="165" fontId="15" fillId="0" borderId="6" xfId="1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165" fontId="0" fillId="0" borderId="6" xfId="1" applyNumberFormat="1" applyFont="1" applyBorder="1" applyAlignment="1">
      <alignment horizontal="center"/>
    </xf>
    <xf numFmtId="165" fontId="15" fillId="0" borderId="6" xfId="1" applyNumberFormat="1" applyFont="1" applyFill="1" applyBorder="1" applyAlignment="1">
      <alignment horizontal="center"/>
    </xf>
    <xf numFmtId="0" fontId="15" fillId="0" borderId="6" xfId="0" applyFont="1" applyBorder="1"/>
    <xf numFmtId="0" fontId="2" fillId="0" borderId="7" xfId="0" applyFont="1" applyBorder="1"/>
    <xf numFmtId="165" fontId="15" fillId="0" borderId="4" xfId="1" applyNumberFormat="1" applyFont="1" applyBorder="1" applyAlignment="1">
      <alignment horizontal="center"/>
    </xf>
    <xf numFmtId="165" fontId="0" fillId="0" borderId="4" xfId="1" applyNumberFormat="1" applyFont="1" applyBorder="1" applyAlignment="1">
      <alignment horizontal="center"/>
    </xf>
    <xf numFmtId="165" fontId="15" fillId="0" borderId="4" xfId="1" applyNumberFormat="1" applyFont="1" applyFill="1" applyBorder="1" applyAlignment="1">
      <alignment horizontal="center"/>
    </xf>
    <xf numFmtId="0" fontId="15" fillId="0" borderId="4" xfId="0" applyFont="1" applyBorder="1"/>
    <xf numFmtId="165" fontId="0" fillId="9" borderId="5" xfId="1" applyNumberFormat="1" applyFont="1" applyFill="1" applyBorder="1" applyAlignment="1"/>
    <xf numFmtId="165" fontId="0" fillId="0" borderId="5" xfId="1" applyNumberFormat="1" applyFont="1" applyBorder="1" applyAlignment="1"/>
    <xf numFmtId="165" fontId="15" fillId="9" borderId="5" xfId="1" applyNumberFormat="1" applyFont="1" applyFill="1" applyBorder="1" applyAlignment="1">
      <alignment horizontal="right"/>
    </xf>
    <xf numFmtId="165" fontId="15" fillId="9" borderId="5" xfId="1" applyNumberFormat="1" applyFont="1" applyFill="1" applyBorder="1" applyAlignment="1"/>
    <xf numFmtId="170" fontId="15" fillId="0" borderId="0" xfId="0" applyNumberFormat="1" applyFont="1"/>
    <xf numFmtId="165" fontId="0" fillId="0" borderId="0" xfId="1" applyNumberFormat="1" applyFont="1" applyFill="1" applyBorder="1"/>
    <xf numFmtId="165" fontId="0" fillId="0" borderId="6" xfId="1" applyNumberFormat="1" applyFont="1" applyBorder="1" applyAlignment="1"/>
    <xf numFmtId="165" fontId="15" fillId="0" borderId="6" xfId="1" applyNumberFormat="1" applyFont="1" applyBorder="1" applyAlignment="1"/>
    <xf numFmtId="165" fontId="15" fillId="0" borderId="6" xfId="1" applyNumberFormat="1" applyFont="1" applyBorder="1" applyAlignment="1">
      <alignment horizontal="right"/>
    </xf>
    <xf numFmtId="165" fontId="15" fillId="0" borderId="6" xfId="0" applyNumberFormat="1" applyFont="1" applyBorder="1"/>
    <xf numFmtId="165" fontId="0" fillId="0" borderId="4" xfId="1" applyNumberFormat="1" applyFont="1" applyBorder="1"/>
    <xf numFmtId="0" fontId="0" fillId="0" borderId="4" xfId="0" applyBorder="1"/>
    <xf numFmtId="165" fontId="0" fillId="0" borderId="4" xfId="1" applyNumberFormat="1" applyFont="1" applyBorder="1" applyAlignment="1"/>
    <xf numFmtId="165" fontId="15" fillId="0" borderId="4" xfId="1" applyNumberFormat="1" applyFont="1" applyBorder="1" applyAlignment="1"/>
    <xf numFmtId="43" fontId="15" fillId="0" borderId="4" xfId="0" applyNumberFormat="1" applyFont="1" applyBorder="1"/>
    <xf numFmtId="43" fontId="15" fillId="0" borderId="0" xfId="0" applyNumberFormat="1" applyFont="1"/>
    <xf numFmtId="43" fontId="15" fillId="0" borderId="20" xfId="0" applyNumberFormat="1" applyFont="1" applyBorder="1"/>
    <xf numFmtId="165" fontId="0" fillId="0" borderId="0" xfId="1" applyNumberFormat="1" applyFont="1" applyBorder="1"/>
    <xf numFmtId="165" fontId="0" fillId="0" borderId="5" xfId="1" applyNumberFormat="1" applyFont="1" applyBorder="1"/>
    <xf numFmtId="0" fontId="0" fillId="0" borderId="5" xfId="0" applyBorder="1"/>
    <xf numFmtId="165" fontId="15" fillId="0" borderId="5" xfId="1" applyNumberFormat="1" applyFont="1" applyBorder="1" applyAlignment="1"/>
    <xf numFmtId="0" fontId="15" fillId="0" borderId="5" xfId="0" applyFont="1" applyBorder="1"/>
    <xf numFmtId="165" fontId="15" fillId="0" borderId="5" xfId="1" applyNumberFormat="1" applyFont="1" applyFill="1" applyBorder="1"/>
    <xf numFmtId="0" fontId="15" fillId="7" borderId="10" xfId="0" applyFont="1" applyFill="1" applyBorder="1" applyAlignment="1">
      <alignment horizontal="center"/>
    </xf>
    <xf numFmtId="165" fontId="0" fillId="0" borderId="5" xfId="1" applyNumberFormat="1" applyFont="1" applyFill="1" applyBorder="1" applyAlignment="1"/>
    <xf numFmtId="43" fontId="0" fillId="0" borderId="5" xfId="1" applyFont="1" applyFill="1" applyBorder="1"/>
    <xf numFmtId="43" fontId="15" fillId="9" borderId="5" xfId="1" applyFont="1" applyFill="1" applyBorder="1"/>
    <xf numFmtId="0" fontId="0" fillId="0" borderId="5" xfId="0" applyBorder="1" applyAlignment="1">
      <alignment horizontal="center" vertical="center"/>
    </xf>
    <xf numFmtId="165" fontId="0" fillId="0" borderId="0" xfId="1" applyNumberFormat="1" applyFont="1" applyBorder="1" applyAlignment="1">
      <alignment vertical="center"/>
    </xf>
    <xf numFmtId="165" fontId="0" fillId="0" borderId="5" xfId="1" applyNumberFormat="1" applyFont="1" applyFill="1" applyBorder="1" applyAlignment="1">
      <alignment vertical="center"/>
    </xf>
    <xf numFmtId="165" fontId="15" fillId="9" borderId="5" xfId="1" applyNumberFormat="1" applyFont="1" applyFill="1" applyBorder="1" applyAlignment="1">
      <alignment vertical="center"/>
    </xf>
    <xf numFmtId="43" fontId="15" fillId="0" borderId="5" xfId="1" applyFont="1" applyFill="1" applyBorder="1"/>
    <xf numFmtId="165" fontId="15" fillId="0" borderId="5" xfId="1" applyNumberFormat="1" applyFont="1" applyFill="1" applyBorder="1" applyAlignment="1"/>
    <xf numFmtId="165" fontId="15" fillId="0" borderId="5" xfId="1" applyNumberFormat="1" applyFont="1" applyFill="1" applyBorder="1" applyAlignment="1">
      <alignment horizontal="right"/>
    </xf>
    <xf numFmtId="44" fontId="0" fillId="0" borderId="0" xfId="0" applyNumberFormat="1"/>
    <xf numFmtId="165" fontId="0" fillId="7" borderId="5" xfId="1" applyNumberFormat="1" applyFont="1" applyFill="1" applyBorder="1"/>
    <xf numFmtId="165" fontId="15" fillId="7" borderId="5" xfId="1" applyNumberFormat="1" applyFont="1" applyFill="1" applyBorder="1"/>
    <xf numFmtId="0" fontId="15" fillId="0" borderId="10" xfId="0" applyFont="1" applyBorder="1"/>
    <xf numFmtId="165" fontId="15" fillId="9" borderId="5" xfId="1" applyNumberFormat="1" applyFont="1" applyFill="1" applyBorder="1"/>
    <xf numFmtId="165" fontId="15" fillId="0" borderId="20" xfId="1" applyNumberFormat="1" applyFont="1" applyFill="1" applyBorder="1"/>
    <xf numFmtId="165" fontId="0" fillId="0" borderId="6" xfId="1" applyNumberFormat="1" applyFont="1" applyBorder="1"/>
    <xf numFmtId="165" fontId="15" fillId="0" borderId="6" xfId="1" applyNumberFormat="1" applyFont="1" applyBorder="1"/>
    <xf numFmtId="0" fontId="18" fillId="0" borderId="10" xfId="0" applyFont="1" applyBorder="1"/>
    <xf numFmtId="0" fontId="18" fillId="0" borderId="5" xfId="0" applyFont="1" applyBorder="1"/>
    <xf numFmtId="165" fontId="25" fillId="0" borderId="13" xfId="1" applyNumberFormat="1" applyFont="1" applyBorder="1"/>
    <xf numFmtId="165" fontId="25" fillId="0" borderId="3" xfId="1" applyNumberFormat="1" applyFont="1" applyBorder="1"/>
    <xf numFmtId="165" fontId="25" fillId="0" borderId="11" xfId="1" applyNumberFormat="1" applyFont="1" applyBorder="1"/>
    <xf numFmtId="0" fontId="0" fillId="0" borderId="3" xfId="0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168" fontId="0" fillId="0" borderId="5" xfId="0" applyNumberFormat="1" applyBorder="1"/>
    <xf numFmtId="168" fontId="15" fillId="0" borderId="5" xfId="0" applyNumberFormat="1" applyFont="1" applyBorder="1"/>
    <xf numFmtId="165" fontId="15" fillId="0" borderId="5" xfId="1" applyNumberFormat="1" applyFont="1" applyBorder="1"/>
    <xf numFmtId="165" fontId="15" fillId="0" borderId="6" xfId="1" applyNumberFormat="1" applyFont="1" applyFill="1" applyBorder="1"/>
    <xf numFmtId="165" fontId="0" fillId="0" borderId="5" xfId="1" applyNumberFormat="1" applyFont="1" applyFill="1" applyBorder="1"/>
    <xf numFmtId="168" fontId="0" fillId="10" borderId="10" xfId="0" applyNumberFormat="1" applyFill="1" applyBorder="1" applyAlignment="1">
      <alignment horizontal="center"/>
    </xf>
    <xf numFmtId="43" fontId="0" fillId="0" borderId="0" xfId="0" applyNumberFormat="1" applyAlignment="1">
      <alignment horizontal="center"/>
    </xf>
    <xf numFmtId="1" fontId="0" fillId="10" borderId="10" xfId="0" applyNumberFormat="1" applyFill="1" applyBorder="1" applyAlignment="1">
      <alignment horizontal="center"/>
    </xf>
    <xf numFmtId="165" fontId="15" fillId="0" borderId="0" xfId="1" applyNumberFormat="1" applyFont="1" applyFill="1" applyBorder="1"/>
    <xf numFmtId="165" fontId="25" fillId="0" borderId="0" xfId="1" applyNumberFormat="1" applyFont="1" applyBorder="1"/>
    <xf numFmtId="165" fontId="25" fillId="0" borderId="11" xfId="0" applyNumberFormat="1" applyFont="1" applyBorder="1"/>
    <xf numFmtId="0" fontId="18" fillId="0" borderId="12" xfId="0" applyFont="1" applyBorder="1"/>
    <xf numFmtId="0" fontId="18" fillId="0" borderId="2" xfId="0" applyFont="1" applyBorder="1"/>
    <xf numFmtId="43" fontId="18" fillId="0" borderId="2" xfId="0" applyNumberFormat="1" applyFont="1" applyBorder="1"/>
    <xf numFmtId="43" fontId="25" fillId="0" borderId="2" xfId="0" applyNumberFormat="1" applyFont="1" applyBorder="1"/>
    <xf numFmtId="165" fontId="15" fillId="0" borderId="0" xfId="1" applyNumberFormat="1" applyFont="1"/>
    <xf numFmtId="165" fontId="0" fillId="0" borderId="2" xfId="1" applyNumberFormat="1" applyFont="1" applyBorder="1"/>
    <xf numFmtId="165" fontId="15" fillId="0" borderId="2" xfId="1" applyNumberFormat="1" applyFont="1" applyBorder="1"/>
    <xf numFmtId="165" fontId="0" fillId="0" borderId="0" xfId="1" applyNumberFormat="1" applyFont="1" applyFill="1"/>
    <xf numFmtId="165" fontId="15" fillId="0" borderId="0" xfId="1" applyNumberFormat="1" applyFont="1" applyFill="1"/>
    <xf numFmtId="170" fontId="0" fillId="0" borderId="0" xfId="0" applyNumberFormat="1"/>
    <xf numFmtId="165" fontId="0" fillId="0" borderId="6" xfId="1" applyNumberFormat="1" applyFont="1" applyFill="1" applyBorder="1"/>
    <xf numFmtId="0" fontId="26" fillId="0" borderId="0" xfId="0" applyFont="1"/>
    <xf numFmtId="0" fontId="0" fillId="0" borderId="0" xfId="0" applyBorder="1"/>
    <xf numFmtId="9" fontId="15" fillId="0" borderId="0" xfId="2" applyFont="1" applyFill="1"/>
    <xf numFmtId="0" fontId="27" fillId="0" borderId="0" xfId="0" applyFont="1"/>
    <xf numFmtId="0" fontId="0" fillId="0" borderId="0" xfId="0" applyFill="1" applyAlignment="1">
      <alignment horizontal="center" wrapText="1"/>
    </xf>
    <xf numFmtId="9" fontId="0" fillId="0" borderId="0" xfId="0" applyNumberFormat="1" applyFill="1"/>
    <xf numFmtId="0" fontId="0" fillId="0" borderId="0" xfId="0" applyFill="1" applyAlignment="1">
      <alignment horizontal="center"/>
    </xf>
    <xf numFmtId="9" fontId="0" fillId="0" borderId="0" xfId="2" applyFont="1" applyFill="1"/>
    <xf numFmtId="0" fontId="0" fillId="0" borderId="0" xfId="0" applyAlignment="1">
      <alignment horizontal="left" indent="1"/>
    </xf>
    <xf numFmtId="0" fontId="0" fillId="0" borderId="0" xfId="0" applyAlignment="1"/>
    <xf numFmtId="171" fontId="1" fillId="0" borderId="0" xfId="2" applyNumberFormat="1" applyFont="1" applyFill="1"/>
    <xf numFmtId="43" fontId="1" fillId="0" borderId="0" xfId="1" applyNumberFormat="1" applyFont="1" applyFill="1"/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164" fontId="0" fillId="0" borderId="0" xfId="0" applyNumberFormat="1" applyFill="1"/>
    <xf numFmtId="165" fontId="15" fillId="0" borderId="5" xfId="0" applyNumberFormat="1" applyFont="1" applyFill="1" applyBorder="1"/>
    <xf numFmtId="0" fontId="18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Fill="1" applyAlignment="1"/>
    <xf numFmtId="165" fontId="0" fillId="0" borderId="0" xfId="0" applyNumberFormat="1" applyAlignment="1">
      <alignment horizontal="center"/>
    </xf>
    <xf numFmtId="0" fontId="0" fillId="2" borderId="6" xfId="0" applyFill="1" applyBorder="1" applyAlignment="1"/>
    <xf numFmtId="0" fontId="0" fillId="0" borderId="0" xfId="0" applyFont="1"/>
    <xf numFmtId="165" fontId="0" fillId="0" borderId="0" xfId="0" applyNumberFormat="1" applyFill="1"/>
    <xf numFmtId="0" fontId="15" fillId="0" borderId="0" xfId="0" applyFont="1" applyFill="1"/>
    <xf numFmtId="168" fontId="0" fillId="0" borderId="10" xfId="0" applyNumberFormat="1" applyFill="1" applyBorder="1" applyAlignment="1">
      <alignment horizontal="center"/>
    </xf>
    <xf numFmtId="1" fontId="0" fillId="0" borderId="10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" fontId="0" fillId="0" borderId="0" xfId="0" applyNumberFormat="1" applyFill="1"/>
    <xf numFmtId="44" fontId="0" fillId="0" borderId="0" xfId="3" applyFont="1" applyFill="1"/>
    <xf numFmtId="0" fontId="2" fillId="0" borderId="10" xfId="0" applyFont="1" applyFill="1" applyBorder="1"/>
    <xf numFmtId="0" fontId="15" fillId="0" borderId="10" xfId="0" applyFont="1" applyFill="1" applyBorder="1" applyAlignment="1">
      <alignment horizontal="center"/>
    </xf>
    <xf numFmtId="170" fontId="15" fillId="0" borderId="0" xfId="0" applyNumberFormat="1" applyFont="1" applyFill="1"/>
    <xf numFmtId="0" fontId="2" fillId="0" borderId="10" xfId="0" applyFont="1" applyBorder="1" applyAlignment="1">
      <alignment horizontal="left" indent="1"/>
    </xf>
    <xf numFmtId="0" fontId="0" fillId="0" borderId="3" xfId="0" applyFill="1" applyBorder="1"/>
    <xf numFmtId="0" fontId="0" fillId="0" borderId="0" xfId="0" applyAlignment="1">
      <alignment horizontal="center"/>
    </xf>
    <xf numFmtId="0" fontId="7" fillId="0" borderId="0" xfId="0" applyFont="1" applyFill="1" applyBorder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165" fontId="8" fillId="0" borderId="0" xfId="1" applyNumberFormat="1" applyFont="1" applyFill="1"/>
    <xf numFmtId="165" fontId="29" fillId="0" borderId="0" xfId="1" applyNumberFormat="1" applyFont="1" applyFill="1"/>
    <xf numFmtId="0" fontId="0" fillId="0" borderId="0" xfId="0" applyFill="1" applyAlignment="1">
      <alignment vertical="center" wrapText="1"/>
    </xf>
    <xf numFmtId="0" fontId="0" fillId="0" borderId="8" xfId="0" applyFill="1" applyBorder="1"/>
    <xf numFmtId="0" fontId="0" fillId="0" borderId="2" xfId="0" applyFill="1" applyBorder="1"/>
    <xf numFmtId="0" fontId="0" fillId="0" borderId="0" xfId="0" quotePrefix="1" applyFill="1" applyAlignment="1">
      <alignment horizontal="left" indent="10"/>
    </xf>
    <xf numFmtId="0" fontId="18" fillId="0" borderId="0" xfId="0" applyFont="1" applyFill="1"/>
    <xf numFmtId="0" fontId="0" fillId="0" borderId="0" xfId="0" applyFont="1" applyFill="1"/>
    <xf numFmtId="0" fontId="15" fillId="0" borderId="0" xfId="0" applyFont="1" applyFill="1" applyAlignment="1"/>
    <xf numFmtId="0" fontId="2" fillId="0" borderId="0" xfId="0" applyFont="1" applyFill="1"/>
    <xf numFmtId="0" fontId="18" fillId="0" borderId="2" xfId="0" applyFont="1" applyFill="1" applyBorder="1"/>
    <xf numFmtId="43" fontId="15" fillId="0" borderId="2" xfId="0" applyNumberFormat="1" applyFont="1" applyFill="1" applyBorder="1"/>
    <xf numFmtId="0" fontId="4" fillId="0" borderId="10" xfId="0" applyFont="1" applyFill="1" applyBorder="1" applyAlignment="1">
      <alignment horizontal="left" indent="1"/>
    </xf>
    <xf numFmtId="0" fontId="30" fillId="0" borderId="10" xfId="0" applyFont="1" applyFill="1" applyBorder="1" applyAlignment="1">
      <alignment horizontal="left" indent="1"/>
    </xf>
    <xf numFmtId="170" fontId="0" fillId="0" borderId="0" xfId="0" applyNumberFormat="1" applyFill="1"/>
    <xf numFmtId="165" fontId="0" fillId="0" borderId="2" xfId="1" applyNumberFormat="1" applyFont="1" applyFill="1" applyBorder="1"/>
    <xf numFmtId="165" fontId="15" fillId="0" borderId="2" xfId="1" applyNumberFormat="1" applyFont="1" applyFill="1" applyBorder="1"/>
    <xf numFmtId="43" fontId="15" fillId="0" borderId="0" xfId="1" applyFont="1" applyFill="1"/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8" fillId="0" borderId="14" xfId="1" applyNumberFormat="1" applyFont="1" applyFill="1" applyBorder="1"/>
    <xf numFmtId="165" fontId="2" fillId="0" borderId="3" xfId="1" applyNumberFormat="1" applyFont="1" applyFill="1" applyBorder="1"/>
    <xf numFmtId="165" fontId="8" fillId="0" borderId="3" xfId="1" applyNumberFormat="1" applyFont="1" applyFill="1" applyBorder="1"/>
    <xf numFmtId="168" fontId="0" fillId="12" borderId="10" xfId="0" applyNumberFormat="1" applyFill="1" applyBorder="1" applyAlignment="1">
      <alignment horizontal="center"/>
    </xf>
    <xf numFmtId="164" fontId="0" fillId="0" borderId="0" xfId="0" applyNumberFormat="1" applyFill="1" applyBorder="1"/>
    <xf numFmtId="164" fontId="0" fillId="0" borderId="0" xfId="0" applyNumberFormat="1" applyFont="1" applyFill="1" applyBorder="1"/>
    <xf numFmtId="0" fontId="0" fillId="0" borderId="0" xfId="0" applyFill="1" applyBorder="1"/>
    <xf numFmtId="0" fontId="15" fillId="12" borderId="10" xfId="0" applyFont="1" applyFill="1" applyBorder="1" applyAlignment="1">
      <alignment horizontal="center"/>
    </xf>
    <xf numFmtId="165" fontId="15" fillId="13" borderId="5" xfId="1" applyNumberFormat="1" applyFont="1" applyFill="1" applyBorder="1" applyAlignment="1">
      <alignment horizontal="right"/>
    </xf>
    <xf numFmtId="165" fontId="0" fillId="0" borderId="5" xfId="1" applyNumberFormat="1" applyFont="1" applyFill="1" applyBorder="1" applyAlignment="1">
      <alignment horizontal="center"/>
    </xf>
    <xf numFmtId="44" fontId="24" fillId="0" borderId="19" xfId="0" applyNumberFormat="1" applyFont="1" applyFill="1" applyBorder="1"/>
    <xf numFmtId="0" fontId="2" fillId="0" borderId="0" xfId="0" applyFont="1" applyFill="1" applyBorder="1"/>
    <xf numFmtId="164" fontId="0" fillId="0" borderId="0" xfId="1" applyNumberFormat="1" applyFont="1" applyFill="1" applyBorder="1"/>
    <xf numFmtId="0" fontId="8" fillId="0" borderId="0" xfId="0" applyFont="1" applyFill="1" applyBorder="1"/>
    <xf numFmtId="0" fontId="15" fillId="0" borderId="0" xfId="0" applyFont="1" applyFill="1" applyAlignment="1">
      <alignment horizontal="center"/>
    </xf>
    <xf numFmtId="0" fontId="20" fillId="0" borderId="0" xfId="0" applyFont="1" applyFill="1"/>
    <xf numFmtId="165" fontId="0" fillId="0" borderId="3" xfId="1" applyNumberFormat="1" applyFont="1" applyFill="1" applyBorder="1" applyAlignment="1">
      <alignment horizontal="right" vertical="center"/>
    </xf>
    <xf numFmtId="0" fontId="0" fillId="0" borderId="0" xfId="0" applyFont="1" applyFill="1" applyAlignment="1"/>
    <xf numFmtId="165" fontId="15" fillId="0" borderId="18" xfId="0" applyNumberFormat="1" applyFont="1" applyFill="1" applyBorder="1"/>
    <xf numFmtId="165" fontId="25" fillId="0" borderId="18" xfId="0" applyNumberFormat="1" applyFont="1" applyFill="1" applyBorder="1"/>
    <xf numFmtId="17" fontId="0" fillId="0" borderId="0" xfId="0" applyNumberFormat="1" applyFont="1" applyFill="1" applyAlignment="1">
      <alignment horizontal="center"/>
    </xf>
    <xf numFmtId="1" fontId="0" fillId="0" borderId="0" xfId="0" applyNumberFormat="1" applyFont="1" applyFill="1"/>
    <xf numFmtId="1" fontId="1" fillId="0" borderId="0" xfId="1" applyNumberFormat="1" applyFont="1" applyFill="1"/>
    <xf numFmtId="164" fontId="0" fillId="0" borderId="0" xfId="0" applyNumberFormat="1" applyFont="1" applyFill="1"/>
    <xf numFmtId="164" fontId="28" fillId="0" borderId="0" xfId="4" applyNumberFormat="1" applyFont="1" applyFill="1"/>
    <xf numFmtId="0" fontId="31" fillId="0" borderId="0" xfId="0" applyFont="1"/>
    <xf numFmtId="0" fontId="0" fillId="0" borderId="3" xfId="0" applyFill="1" applyBorder="1" applyAlignment="1">
      <alignment horizontal="left" vertic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1" applyNumberFormat="1" applyFont="1" applyAlignment="1">
      <alignment horizontal="left" indent="1"/>
    </xf>
    <xf numFmtId="0" fontId="0" fillId="0" borderId="0" xfId="0" applyAlignment="1">
      <alignment horizontal="left"/>
    </xf>
    <xf numFmtId="0" fontId="33" fillId="0" borderId="0" xfId="0" applyFont="1"/>
    <xf numFmtId="0" fontId="2" fillId="0" borderId="0" xfId="0" applyFont="1" applyAlignment="1">
      <alignment horizontal="center"/>
    </xf>
    <xf numFmtId="0" fontId="32" fillId="7" borderId="3" xfId="0" applyFont="1" applyFill="1" applyBorder="1"/>
    <xf numFmtId="0" fontId="32" fillId="7" borderId="3" xfId="0" applyFont="1" applyFill="1" applyBorder="1" applyAlignment="1">
      <alignment vertical="center"/>
    </xf>
    <xf numFmtId="0" fontId="32" fillId="7" borderId="3" xfId="0" applyFont="1" applyFill="1" applyBorder="1" applyAlignment="1">
      <alignment wrapText="1"/>
    </xf>
    <xf numFmtId="0" fontId="0" fillId="7" borderId="3" xfId="0" applyFill="1" applyBorder="1" applyAlignment="1">
      <alignment vertical="center"/>
    </xf>
    <xf numFmtId="0" fontId="0" fillId="7" borderId="3" xfId="0" applyFill="1" applyBorder="1"/>
    <xf numFmtId="171" fontId="1" fillId="7" borderId="0" xfId="2" applyNumberFormat="1" applyFont="1" applyFill="1"/>
    <xf numFmtId="171" fontId="0" fillId="7" borderId="0" xfId="2" applyNumberFormat="1" applyFont="1" applyFill="1"/>
    <xf numFmtId="165" fontId="0" fillId="0" borderId="0" xfId="0" applyNumberFormat="1" applyFill="1" applyAlignment="1">
      <alignment horizontal="center" wrapText="1"/>
    </xf>
    <xf numFmtId="9" fontId="33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vertical="center"/>
    </xf>
    <xf numFmtId="165" fontId="25" fillId="0" borderId="0" xfId="0" applyNumberFormat="1" applyFont="1" applyFill="1"/>
    <xf numFmtId="9" fontId="0" fillId="0" borderId="0" xfId="2" applyFont="1" applyAlignment="1">
      <alignment wrapText="1"/>
    </xf>
    <xf numFmtId="0" fontId="0" fillId="0" borderId="0" xfId="0" applyAlignment="1">
      <alignment horizontal="center"/>
    </xf>
    <xf numFmtId="0" fontId="0" fillId="7" borderId="3" xfId="0" quotePrefix="1" applyFill="1" applyBorder="1" applyAlignment="1">
      <alignment vertical="center"/>
    </xf>
    <xf numFmtId="0" fontId="32" fillId="7" borderId="3" xfId="0" quotePrefix="1" applyFont="1" applyFill="1" applyBorder="1" applyAlignment="1">
      <alignment wrapText="1"/>
    </xf>
    <xf numFmtId="0" fontId="15" fillId="0" borderId="3" xfId="0" applyFont="1" applyFill="1" applyBorder="1" applyAlignment="1">
      <alignment horizontal="center"/>
    </xf>
    <xf numFmtId="0" fontId="0" fillId="14" borderId="0" xfId="0" applyFill="1" applyAlignment="1">
      <alignment horizontal="center"/>
    </xf>
    <xf numFmtId="0" fontId="0" fillId="14" borderId="0" xfId="0" applyFill="1"/>
    <xf numFmtId="0" fontId="0" fillId="10" borderId="10" xfId="0" applyFill="1" applyBorder="1" applyAlignment="1">
      <alignment horizontal="center"/>
    </xf>
    <xf numFmtId="2" fontId="15" fillId="12" borderId="10" xfId="0" applyNumberFormat="1" applyFont="1" applyFill="1" applyBorder="1" applyAlignment="1">
      <alignment horizontal="center"/>
    </xf>
    <xf numFmtId="0" fontId="2" fillId="0" borderId="0" xfId="0" applyFont="1" applyBorder="1"/>
    <xf numFmtId="0" fontId="15" fillId="0" borderId="0" xfId="0" applyFont="1" applyBorder="1"/>
    <xf numFmtId="0" fontId="2" fillId="2" borderId="7" xfId="0" applyFont="1" applyFill="1" applyBorder="1" applyAlignment="1">
      <alignment horizontal="center"/>
    </xf>
    <xf numFmtId="0" fontId="2" fillId="0" borderId="13" xfId="0" applyFont="1" applyBorder="1"/>
    <xf numFmtId="0" fontId="2" fillId="2" borderId="12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3" xfId="1" applyNumberFormat="1" applyFont="1" applyFill="1" applyBorder="1"/>
    <xf numFmtId="164" fontId="15" fillId="0" borderId="3" xfId="1" applyNumberFormat="1" applyFont="1" applyFill="1" applyBorder="1"/>
    <xf numFmtId="0" fontId="0" fillId="0" borderId="14" xfId="0" applyBorder="1"/>
    <xf numFmtId="164" fontId="2" fillId="0" borderId="3" xfId="0" applyNumberFormat="1" applyFont="1" applyBorder="1"/>
    <xf numFmtId="164" fontId="2" fillId="4" borderId="0" xfId="0" applyNumberFormat="1" applyFont="1" applyFill="1"/>
    <xf numFmtId="172" fontId="0" fillId="0" borderId="0" xfId="0" applyNumberFormat="1"/>
    <xf numFmtId="165" fontId="0" fillId="0" borderId="1" xfId="1" applyNumberFormat="1" applyFont="1" applyBorder="1"/>
    <xf numFmtId="1" fontId="0" fillId="12" borderId="10" xfId="0" applyNumberFormat="1" applyFill="1" applyBorder="1" applyAlignment="1">
      <alignment horizontal="center"/>
    </xf>
    <xf numFmtId="0" fontId="15" fillId="0" borderId="0" xfId="0" applyFont="1" applyFill="1" applyBorder="1"/>
    <xf numFmtId="0" fontId="0" fillId="0" borderId="0" xfId="0" applyFont="1" applyFill="1" applyBorder="1"/>
    <xf numFmtId="0" fontId="2" fillId="0" borderId="0" xfId="0" applyFont="1" applyAlignment="1">
      <alignment horizontal="center" wrapText="1"/>
    </xf>
    <xf numFmtId="0" fontId="0" fillId="0" borderId="3" xfId="0" applyFill="1" applyBorder="1" applyAlignment="1">
      <alignment wrapText="1"/>
    </xf>
    <xf numFmtId="165" fontId="0" fillId="0" borderId="21" xfId="0" applyNumberFormat="1" applyBorder="1"/>
    <xf numFmtId="0" fontId="0" fillId="0" borderId="10" xfId="0" applyBorder="1" applyAlignment="1">
      <alignment horizontal="center" wrapText="1"/>
    </xf>
    <xf numFmtId="165" fontId="0" fillId="0" borderId="10" xfId="1" applyNumberFormat="1" applyFont="1" applyBorder="1"/>
    <xf numFmtId="165" fontId="2" fillId="0" borderId="0" xfId="1" applyNumberFormat="1" applyFont="1"/>
    <xf numFmtId="165" fontId="2" fillId="0" borderId="10" xfId="1" applyNumberFormat="1" applyFont="1" applyBorder="1"/>
    <xf numFmtId="10" fontId="0" fillId="3" borderId="0" xfId="0" applyNumberFormat="1" applyFill="1"/>
    <xf numFmtId="0" fontId="0" fillId="4" borderId="3" xfId="0" applyFill="1" applyBorder="1"/>
    <xf numFmtId="164" fontId="0" fillId="4" borderId="3" xfId="1" applyNumberFormat="1" applyFont="1" applyFill="1" applyBorder="1"/>
    <xf numFmtId="164" fontId="15" fillId="4" borderId="3" xfId="1" applyNumberFormat="1" applyFont="1" applyFill="1" applyBorder="1"/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165" fontId="15" fillId="15" borderId="5" xfId="1" applyNumberFormat="1" applyFont="1" applyFill="1" applyBorder="1" applyAlignment="1">
      <alignment horizontal="right"/>
    </xf>
    <xf numFmtId="165" fontId="15" fillId="15" borderId="5" xfId="0" applyNumberFormat="1" applyFont="1" applyFill="1" applyBorder="1"/>
    <xf numFmtId="165" fontId="15" fillId="15" borderId="5" xfId="1" applyNumberFormat="1" applyFont="1" applyFill="1" applyBorder="1" applyAlignment="1"/>
    <xf numFmtId="165" fontId="15" fillId="15" borderId="5" xfId="0" applyNumberFormat="1" applyFont="1" applyFill="1" applyBorder="1" applyAlignment="1">
      <alignment vertical="center"/>
    </xf>
    <xf numFmtId="165" fontId="15" fillId="15" borderId="5" xfId="1" applyNumberFormat="1" applyFont="1" applyFill="1" applyBorder="1"/>
    <xf numFmtId="0" fontId="35" fillId="15" borderId="0" xfId="0" applyFont="1" applyFill="1" applyAlignment="1">
      <alignment horizontal="center"/>
    </xf>
    <xf numFmtId="165" fontId="15" fillId="15" borderId="6" xfId="1" applyNumberFormat="1" applyFont="1" applyFill="1" applyBorder="1"/>
    <xf numFmtId="165" fontId="0" fillId="15" borderId="3" xfId="1" applyNumberFormat="1" applyFont="1" applyFill="1" applyBorder="1"/>
    <xf numFmtId="165" fontId="15" fillId="15" borderId="3" xfId="1" applyNumberFormat="1" applyFont="1" applyFill="1" applyBorder="1"/>
    <xf numFmtId="43" fontId="0" fillId="15" borderId="3" xfId="1" applyFont="1" applyFill="1" applyBorder="1"/>
    <xf numFmtId="165" fontId="0" fillId="15" borderId="3" xfId="0" applyNumberFormat="1" applyFill="1" applyBorder="1"/>
    <xf numFmtId="165" fontId="15" fillId="0" borderId="5" xfId="0" applyNumberFormat="1" applyFont="1" applyFill="1" applyBorder="1" applyAlignment="1">
      <alignment vertical="center"/>
    </xf>
    <xf numFmtId="0" fontId="15" fillId="0" borderId="5" xfId="0" applyFont="1" applyFill="1" applyBorder="1"/>
    <xf numFmtId="165" fontId="25" fillId="0" borderId="3" xfId="1" applyNumberFormat="1" applyFont="1" applyFill="1" applyBorder="1"/>
    <xf numFmtId="165" fontId="25" fillId="0" borderId="11" xfId="1" applyNumberFormat="1" applyFont="1" applyFill="1" applyBorder="1"/>
    <xf numFmtId="0" fontId="15" fillId="0" borderId="3" xfId="0" applyFont="1" applyFill="1" applyBorder="1" applyAlignment="1">
      <alignment horizontal="center" wrapText="1"/>
    </xf>
    <xf numFmtId="168" fontId="15" fillId="0" borderId="5" xfId="0" applyNumberFormat="1" applyFont="1" applyFill="1" applyBorder="1"/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4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3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165" fontId="0" fillId="0" borderId="4" xfId="1" applyNumberFormat="1" applyFont="1" applyFill="1" applyBorder="1" applyAlignment="1">
      <alignment horizontal="right" vertical="center"/>
    </xf>
    <xf numFmtId="165" fontId="0" fillId="0" borderId="6" xfId="1" applyNumberFormat="1" applyFont="1" applyFill="1" applyBorder="1" applyAlignment="1">
      <alignment horizontal="right" vertical="center"/>
    </xf>
    <xf numFmtId="0" fontId="18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6" borderId="0" xfId="0" applyFont="1" applyFill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</cellXfs>
  <cellStyles count="6">
    <cellStyle name="Comma" xfId="1" builtinId="3"/>
    <cellStyle name="Currency" xfId="3" builtinId="4"/>
    <cellStyle name="Good" xfId="4" builtinId="26"/>
    <cellStyle name="Normal" xfId="0" builtinId="0"/>
    <cellStyle name="Normal 4" xfId="5"/>
    <cellStyle name="Percent" xfId="2" builtinId="5"/>
  </cellStyles>
  <dxfs count="0"/>
  <tableStyles count="0" defaultTableStyle="TableStyleMedium2" defaultPivotStyle="PivotStyleLight16"/>
  <colors>
    <mruColors>
      <color rgb="FF66FF99"/>
      <color rgb="FF00FF00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SD%20-%20EDPR%202022-26%20Revised%20Proposal%20-%20Capex%20Model%20(2021-26)%20-%20031220%20-%20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 to Connections Model"/>
      <sheetName val="Input from Connections Model"/>
      <sheetName val="Contents"/>
      <sheetName val="Assumptions"/>
      <sheetName val="Lookups -&gt;"/>
      <sheetName val="Lab_Mat"/>
      <sheetName val="Escalators"/>
      <sheetName val="Lookups"/>
      <sheetName val="START"/>
      <sheetName val="Inputs -&gt;"/>
      <sheetName val="Augmentation"/>
      <sheetName val="Connections"/>
      <sheetName val="Major_Rebuilds"/>
      <sheetName val="Stations"/>
      <sheetName val="Lines"/>
      <sheetName val="PC&amp;A"/>
      <sheetName val="SCADA&amp;Comms"/>
      <sheetName val="ESL_1"/>
      <sheetName val="ESL_2"/>
      <sheetName val="REFCL"/>
      <sheetName val="ICT"/>
      <sheetName val="Metering_SCS"/>
      <sheetName val="Other_NN"/>
      <sheetName val="Downer_Contract"/>
      <sheetName val="Aggregations &amp; Alloc -&gt;"/>
      <sheetName val="Base_Forecast"/>
      <sheetName val="Reg_Forecast"/>
      <sheetName val="Capex_by_Driver"/>
      <sheetName val="Safety"/>
      <sheetName val="AusNet_Overheads"/>
      <sheetName val="Outputs -&gt;"/>
      <sheetName val="RFM_PTRM"/>
      <sheetName val="Capex_2016-2026"/>
      <sheetName val="DER"/>
      <sheetName val="REFCL_view"/>
      <sheetName val="RIN Template -&gt;"/>
      <sheetName val="2.1 Exp Summary"/>
      <sheetName val="2.1.8 Cap Overheads"/>
      <sheetName val="2.6 Non-Network"/>
      <sheetName val="2.11 Labour"/>
      <sheetName val="2.17 Step Changes"/>
      <sheetName val="Other -&gt;"/>
      <sheetName val="Repex_Analysis"/>
      <sheetName val="ASD - EDPR 2022-26 Revised Prop"/>
    </sheetNames>
    <sheetDataSet>
      <sheetData sheetId="0"/>
      <sheetData sheetId="1"/>
      <sheetData sheetId="2"/>
      <sheetData sheetId="3"/>
      <sheetData sheetId="4"/>
      <sheetData sheetId="5"/>
      <sheetData sheetId="6">
        <row r="12">
          <cell r="O12">
            <v>1.5929203539823078E-2</v>
          </cell>
        </row>
        <row r="17">
          <cell r="K17">
            <v>1.089065287920217</v>
          </cell>
          <cell r="L17">
            <v>1.075441975284158</v>
          </cell>
          <cell r="M17">
            <v>1.0597841134352426</v>
          </cell>
          <cell r="N17">
            <v>1.0389462882960341</v>
          </cell>
          <cell r="O17">
            <v>1.0202250019521406</v>
          </cell>
        </row>
        <row r="26">
          <cell r="O26">
            <v>8.9480509403160879E-3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7"/>
  <sheetViews>
    <sheetView zoomScale="85" zoomScaleNormal="85" workbookViewId="0">
      <selection activeCell="G22" sqref="G22"/>
    </sheetView>
  </sheetViews>
  <sheetFormatPr defaultRowHeight="15" x14ac:dyDescent="0.25"/>
  <cols>
    <col min="1" max="1" width="2.5703125" customWidth="1"/>
    <col min="2" max="2" width="25.85546875" customWidth="1"/>
    <col min="3" max="5" width="9.42578125" bestFit="1" customWidth="1"/>
    <col min="6" max="13" width="9.85546875" customWidth="1"/>
    <col min="14" max="15" width="10.5703125" bestFit="1" customWidth="1"/>
  </cols>
  <sheetData>
    <row r="1" spans="2:24" x14ac:dyDescent="0.25">
      <c r="B1" s="3" t="s">
        <v>393</v>
      </c>
    </row>
    <row r="3" spans="2:24" x14ac:dyDescent="0.25">
      <c r="B3" s="22" t="s">
        <v>408</v>
      </c>
      <c r="P3" s="266"/>
      <c r="Q3" s="21"/>
      <c r="R3" s="21"/>
      <c r="S3" s="21"/>
      <c r="T3" s="21"/>
      <c r="U3" s="21"/>
      <c r="V3" s="21"/>
      <c r="W3" s="21"/>
      <c r="X3" s="21"/>
    </row>
    <row r="4" spans="2:24" ht="30" x14ac:dyDescent="0.25">
      <c r="B4" t="s">
        <v>5</v>
      </c>
      <c r="C4" s="9" t="s">
        <v>15</v>
      </c>
      <c r="D4" s="9" t="s">
        <v>16</v>
      </c>
      <c r="E4" s="9" t="s">
        <v>17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9" t="s">
        <v>14</v>
      </c>
      <c r="N4" s="9" t="s">
        <v>0</v>
      </c>
      <c r="P4" s="220"/>
      <c r="Q4" s="220"/>
      <c r="R4" s="220"/>
      <c r="S4" s="220"/>
      <c r="T4" s="220"/>
      <c r="U4" s="220"/>
      <c r="V4" s="220"/>
      <c r="W4" s="220"/>
      <c r="X4" s="220"/>
    </row>
    <row r="5" spans="2:24" x14ac:dyDescent="0.25">
      <c r="B5" t="s">
        <v>3</v>
      </c>
      <c r="C5" s="1">
        <f>Summary!E5+Summary!E12</f>
        <v>1032.9741003652593</v>
      </c>
      <c r="D5" s="1">
        <f>Summary!F5+Summary!F12</f>
        <v>3817.8550645500522</v>
      </c>
      <c r="E5" s="1">
        <f>Summary!G5+Summary!G12</f>
        <v>5338.1774317349673</v>
      </c>
      <c r="F5" s="1">
        <f>Summary!H5+Summary!H12</f>
        <v>6858.4997989198837</v>
      </c>
      <c r="G5" s="1">
        <f>Summary!I5+Summary!I12</f>
        <v>3446.5873292158622</v>
      </c>
      <c r="H5" s="1">
        <f>Summary!J5+Summary!J12</f>
        <v>0</v>
      </c>
      <c r="I5" s="1">
        <f>Summary!K5+Summary!K12</f>
        <v>0</v>
      </c>
      <c r="J5" s="1">
        <f>Summary!L5+Summary!L12</f>
        <v>0</v>
      </c>
      <c r="K5" s="1">
        <f>Summary!M5+Summary!M12</f>
        <v>0</v>
      </c>
      <c r="L5" s="1">
        <f>Summary!N5+Summary!N12</f>
        <v>0</v>
      </c>
      <c r="M5" s="1">
        <f>Summary!O5+Summary!O12</f>
        <v>0</v>
      </c>
      <c r="N5" s="5">
        <f>SUM(C5:M5)</f>
        <v>20494.093724786024</v>
      </c>
      <c r="P5" s="246"/>
      <c r="Q5" s="246"/>
      <c r="R5" s="246"/>
      <c r="S5" s="246"/>
      <c r="T5" s="246"/>
      <c r="U5" s="246"/>
      <c r="V5" s="246"/>
      <c r="W5" s="246"/>
      <c r="X5" s="246"/>
    </row>
    <row r="6" spans="2:24" x14ac:dyDescent="0.25">
      <c r="B6" t="s">
        <v>86</v>
      </c>
      <c r="C6" s="1">
        <f>Summary!E6+Summary!E13</f>
        <v>602.73208708666175</v>
      </c>
      <c r="D6" s="1">
        <f>Summary!F6+Summary!F13</f>
        <v>2227.6877517422276</v>
      </c>
      <c r="E6" s="1">
        <f>Summary!G6+Summary!G13</f>
        <v>3114.7836364249874</v>
      </c>
      <c r="F6" s="1">
        <f>Summary!H6+Summary!H13</f>
        <v>4001.8795211077481</v>
      </c>
      <c r="G6" s="1">
        <f>Summary!I6+Summary!I13</f>
        <v>2011.0560115013172</v>
      </c>
      <c r="H6" s="1">
        <f>Summary!J6+Summary!J13</f>
        <v>0</v>
      </c>
      <c r="I6" s="1">
        <f>Summary!K6+Summary!K13</f>
        <v>0</v>
      </c>
      <c r="J6" s="1">
        <f>Summary!L6+Summary!L13</f>
        <v>0</v>
      </c>
      <c r="K6" s="1">
        <f>Summary!M6+Summary!M13</f>
        <v>0</v>
      </c>
      <c r="L6" s="1">
        <f>Summary!N6+Summary!N13</f>
        <v>0</v>
      </c>
      <c r="M6" s="1">
        <f>Summary!O6+Summary!O13</f>
        <v>0</v>
      </c>
      <c r="N6" s="5">
        <f>SUM(C6:M6)</f>
        <v>11958.139007862943</v>
      </c>
      <c r="P6" s="246"/>
      <c r="Q6" s="246"/>
      <c r="R6" s="246"/>
      <c r="S6" s="246"/>
      <c r="T6" s="246"/>
      <c r="U6" s="246"/>
      <c r="V6" s="246"/>
      <c r="W6" s="246"/>
      <c r="X6" s="246"/>
    </row>
    <row r="7" spans="2:24" x14ac:dyDescent="0.25">
      <c r="B7" t="s">
        <v>2</v>
      </c>
      <c r="C7" s="1">
        <f>Summary!E7+Summary!E14</f>
        <v>288.01670193090825</v>
      </c>
      <c r="D7" s="1">
        <f>Summary!F7+Summary!F14</f>
        <v>1064.5049316852189</v>
      </c>
      <c r="E7" s="1">
        <f>Summary!G7+Summary!G14</f>
        <v>1488.405428235478</v>
      </c>
      <c r="F7" s="1">
        <f>Summary!H7+Summary!H14</f>
        <v>1912.3059247857375</v>
      </c>
      <c r="G7" s="1">
        <f>Summary!I7+Summary!I14</f>
        <v>960.98703261446792</v>
      </c>
      <c r="H7" s="1">
        <f>Summary!J7+Summary!J14</f>
        <v>0</v>
      </c>
      <c r="I7" s="1">
        <f>Summary!K7+Summary!K14</f>
        <v>0</v>
      </c>
      <c r="J7" s="1">
        <f>Summary!L7+Summary!L14</f>
        <v>0</v>
      </c>
      <c r="K7" s="1">
        <f>Summary!M7+Summary!M14</f>
        <v>0</v>
      </c>
      <c r="L7" s="1">
        <f>Summary!N7+Summary!N14</f>
        <v>0</v>
      </c>
      <c r="M7" s="1">
        <f>Summary!O7+Summary!O14</f>
        <v>0</v>
      </c>
      <c r="N7" s="5">
        <f t="shared" ref="N7:N8" si="0">SUM(C7:M7)</f>
        <v>5714.2200192518112</v>
      </c>
      <c r="P7" s="246"/>
      <c r="Q7" s="246"/>
      <c r="R7" s="246"/>
      <c r="S7" s="246"/>
      <c r="T7" s="246"/>
      <c r="U7" s="246"/>
      <c r="V7" s="246"/>
      <c r="W7" s="246"/>
      <c r="X7" s="246"/>
    </row>
    <row r="8" spans="2:24" x14ac:dyDescent="0.25">
      <c r="B8" t="s">
        <v>4</v>
      </c>
      <c r="C8" s="1">
        <f>Summary!E8</f>
        <v>0</v>
      </c>
      <c r="D8" s="1">
        <f>Summary!F8</f>
        <v>650.08733717518714</v>
      </c>
      <c r="E8" s="1">
        <f>Summary!G8</f>
        <v>0</v>
      </c>
      <c r="F8" s="1">
        <f>Summary!H8</f>
        <v>0</v>
      </c>
      <c r="G8" s="1">
        <f>Summary!I8</f>
        <v>0</v>
      </c>
      <c r="H8" s="1">
        <f>Summary!J8</f>
        <v>0</v>
      </c>
      <c r="I8" s="1">
        <f>Summary!K8</f>
        <v>0</v>
      </c>
      <c r="J8" s="1">
        <f>Summary!L8</f>
        <v>0</v>
      </c>
      <c r="K8" s="1">
        <f>Summary!M8</f>
        <v>0</v>
      </c>
      <c r="L8" s="1">
        <f>Summary!N8</f>
        <v>0</v>
      </c>
      <c r="M8" s="1">
        <f>Summary!O8</f>
        <v>0</v>
      </c>
      <c r="N8" s="5">
        <f t="shared" si="0"/>
        <v>650.08733717518714</v>
      </c>
      <c r="P8" s="246"/>
      <c r="Q8" s="246"/>
      <c r="R8" s="246"/>
      <c r="S8" s="246"/>
      <c r="T8" s="246"/>
      <c r="U8" s="246"/>
      <c r="V8" s="246"/>
      <c r="W8" s="246"/>
      <c r="X8" s="246"/>
    </row>
    <row r="9" spans="2:24" x14ac:dyDescent="0.25">
      <c r="B9" s="3" t="s">
        <v>31</v>
      </c>
      <c r="C9" s="10">
        <f t="shared" ref="C9" si="1">SUM(C5:C8)</f>
        <v>1923.7228893828294</v>
      </c>
      <c r="D9" s="10">
        <f t="shared" ref="D9" si="2">SUM(D5:D8)</f>
        <v>7760.1350851526859</v>
      </c>
      <c r="E9" s="10">
        <f t="shared" ref="E9" si="3">SUM(E5:E8)</f>
        <v>9941.3664963954325</v>
      </c>
      <c r="F9" s="10">
        <f t="shared" ref="F9:M9" si="4">SUM(F5:F8)</f>
        <v>12772.68524481337</v>
      </c>
      <c r="G9" s="10">
        <f t="shared" si="4"/>
        <v>6418.6303733316472</v>
      </c>
      <c r="H9" s="10">
        <f t="shared" si="4"/>
        <v>0</v>
      </c>
      <c r="I9" s="10">
        <f t="shared" si="4"/>
        <v>0</v>
      </c>
      <c r="J9" s="10">
        <f t="shared" si="4"/>
        <v>0</v>
      </c>
      <c r="K9" s="10">
        <f t="shared" si="4"/>
        <v>0</v>
      </c>
      <c r="L9" s="10">
        <f t="shared" si="4"/>
        <v>0</v>
      </c>
      <c r="M9" s="10">
        <f t="shared" si="4"/>
        <v>0</v>
      </c>
      <c r="N9" s="14">
        <f>SUM(N5:N8)</f>
        <v>38816.54008907597</v>
      </c>
      <c r="O9" s="5"/>
      <c r="P9" s="246"/>
      <c r="Q9" s="246"/>
      <c r="R9" s="246"/>
      <c r="S9" s="246"/>
      <c r="T9" s="246"/>
      <c r="U9" s="246"/>
      <c r="V9" s="246"/>
      <c r="W9" s="246"/>
      <c r="X9" s="246"/>
    </row>
    <row r="10" spans="2:24" x14ac:dyDescent="0.25">
      <c r="C10" t="b">
        <f>C9=Summary!E9+Summary!E15</f>
        <v>1</v>
      </c>
      <c r="D10" t="b">
        <f>D9=Summary!F9+Summary!F15</f>
        <v>1</v>
      </c>
      <c r="E10" t="b">
        <f>E9=Summary!G9+Summary!G15</f>
        <v>1</v>
      </c>
      <c r="F10" t="b">
        <f>F9=Summary!H9+Summary!H15</f>
        <v>1</v>
      </c>
      <c r="G10" t="b">
        <f>G9=Summary!I9+Summary!I15</f>
        <v>1</v>
      </c>
      <c r="H10" t="b">
        <f>H9=Summary!J9+Summary!J15</f>
        <v>1</v>
      </c>
      <c r="I10" t="b">
        <f>I9=Summary!K9+Summary!K15</f>
        <v>1</v>
      </c>
      <c r="J10" t="b">
        <f>J9=Summary!L9+Summary!L15</f>
        <v>1</v>
      </c>
      <c r="K10" t="b">
        <f>K9=Summary!M9+Summary!M15</f>
        <v>1</v>
      </c>
      <c r="L10" t="b">
        <f>L9=Summary!N9+Summary!N15</f>
        <v>1</v>
      </c>
      <c r="M10" t="b">
        <f>M9=Summary!O9+Summary!O15</f>
        <v>1</v>
      </c>
      <c r="N10" t="b">
        <f>N9=Summary!P9+Summary!P15</f>
        <v>1</v>
      </c>
      <c r="P10" s="246"/>
      <c r="Q10" s="246"/>
      <c r="R10" s="246"/>
      <c r="S10" s="246"/>
      <c r="T10" s="246"/>
      <c r="U10" s="246"/>
      <c r="V10" s="246"/>
      <c r="W10" s="246"/>
      <c r="X10" s="246"/>
    </row>
    <row r="11" spans="2:24" x14ac:dyDescent="0.25">
      <c r="P11" s="246"/>
      <c r="Q11" s="246"/>
      <c r="R11" s="246"/>
      <c r="S11" s="246"/>
      <c r="T11" s="246"/>
      <c r="U11" s="246"/>
      <c r="V11" s="246"/>
      <c r="W11" s="246"/>
      <c r="X11" s="246"/>
    </row>
    <row r="13" spans="2:24" x14ac:dyDescent="0.25">
      <c r="B13" s="216" t="s">
        <v>392</v>
      </c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</row>
    <row r="14" spans="2:24" ht="30" x14ac:dyDescent="0.25">
      <c r="C14" s="9" t="s">
        <v>32</v>
      </c>
      <c r="D14" s="15">
        <v>44713</v>
      </c>
      <c r="E14" s="15">
        <f>EDATE(D14,12)</f>
        <v>45078</v>
      </c>
      <c r="F14" s="15">
        <f>EDATE(E14,12)</f>
        <v>45444</v>
      </c>
      <c r="G14" s="15">
        <f>EDATE(F14,12)</f>
        <v>45809</v>
      </c>
      <c r="H14" s="15">
        <f t="shared" ref="H14" si="5">EDATE(G14,12)</f>
        <v>46174</v>
      </c>
      <c r="K14" s="297"/>
      <c r="L14" s="297"/>
      <c r="M14" s="297"/>
      <c r="N14" s="297"/>
      <c r="O14" s="264"/>
      <c r="P14" s="264"/>
      <c r="Q14" s="297"/>
      <c r="R14" s="297"/>
      <c r="S14" s="297"/>
      <c r="T14" s="297"/>
      <c r="U14" s="264"/>
    </row>
    <row r="15" spans="2:24" x14ac:dyDescent="0.25">
      <c r="B15" t="s">
        <v>3</v>
      </c>
      <c r="C15" s="17">
        <f>C5/$C$22</f>
        <v>1011.9489638091522</v>
      </c>
      <c r="D15" s="17">
        <f>SUM(D5:E5)/$C$22</f>
        <v>8969.670772909305</v>
      </c>
      <c r="E15" s="17">
        <f>SUM(F5:G5)/$C$22</f>
        <v>10095.337567120594</v>
      </c>
      <c r="F15" s="17">
        <f>SUM(H5:I5)/$C$22</f>
        <v>0</v>
      </c>
      <c r="G15" s="17">
        <f>SUM(J5:K5)/$C$22</f>
        <v>0</v>
      </c>
      <c r="H15" s="17">
        <f>SUM(L5:M5)/$C$22</f>
        <v>0</v>
      </c>
      <c r="I15" s="5">
        <f>SUM(C15:H15)</f>
        <v>20076.957303839052</v>
      </c>
      <c r="K15" s="298"/>
      <c r="L15" s="299"/>
      <c r="M15" s="299"/>
      <c r="N15" s="299"/>
      <c r="O15" s="299"/>
      <c r="P15" s="264"/>
      <c r="Q15" s="300"/>
      <c r="R15" s="300"/>
      <c r="S15" s="300"/>
      <c r="T15" s="300"/>
      <c r="U15" s="300"/>
    </row>
    <row r="16" spans="2:24" x14ac:dyDescent="0.25">
      <c r="B16" t="s">
        <v>86</v>
      </c>
      <c r="C16" s="17">
        <f t="shared" ref="C16:C18" si="6">C6/$C$22</f>
        <v>590.4640888539243</v>
      </c>
      <c r="D16" s="17">
        <f>SUM(D6:E6)/$C$22</f>
        <v>5233.7308200894749</v>
      </c>
      <c r="E16" s="17">
        <f>SUM(F6:G6)/$C$22</f>
        <v>5890.5483492019775</v>
      </c>
      <c r="F16" s="17">
        <f>SUM(H6:I6)/$C$22</f>
        <v>0</v>
      </c>
      <c r="G16" s="17">
        <f>SUM(J6:K6)/$C$22</f>
        <v>0</v>
      </c>
      <c r="H16" s="17">
        <f>SUM(L6:M6)/$C$22</f>
        <v>0</v>
      </c>
      <c r="I16" s="5">
        <f>SUM(C16:H16)</f>
        <v>11714.743258145376</v>
      </c>
      <c r="K16" s="298"/>
      <c r="L16" s="298"/>
      <c r="M16" s="298"/>
      <c r="N16" s="298"/>
      <c r="O16" s="298"/>
      <c r="P16" s="264"/>
      <c r="Q16" s="300"/>
      <c r="R16" s="300"/>
      <c r="S16" s="300"/>
      <c r="T16" s="300"/>
      <c r="U16" s="300"/>
    </row>
    <row r="17" spans="2:21" x14ac:dyDescent="0.25">
      <c r="B17" t="s">
        <v>2</v>
      </c>
      <c r="C17" s="17">
        <f t="shared" si="6"/>
        <v>282.15441507744725</v>
      </c>
      <c r="D17" s="17">
        <f>SUM(D7:E7)/$C$22</f>
        <v>2500.9484676391248</v>
      </c>
      <c r="E17" s="17">
        <f>SUM(F7:G7)/$C$22</f>
        <v>2814.810003400024</v>
      </c>
      <c r="F17" s="17">
        <f>SUM(H7:I7)/$C$22</f>
        <v>0</v>
      </c>
      <c r="G17" s="17">
        <f>SUM(J7:K7)/$C$22</f>
        <v>0</v>
      </c>
      <c r="H17" s="17">
        <f>SUM(L7:M7)/$C$22</f>
        <v>0</v>
      </c>
      <c r="I17" s="5">
        <f t="shared" ref="I17:I18" si="7">SUM(C17:H17)</f>
        <v>5597.9128861165955</v>
      </c>
      <c r="K17" s="298"/>
      <c r="L17" s="299"/>
      <c r="M17" s="299"/>
      <c r="N17" s="299"/>
      <c r="O17" s="299"/>
      <c r="P17" s="264"/>
      <c r="Q17" s="300"/>
      <c r="R17" s="300"/>
      <c r="S17" s="300"/>
      <c r="T17" s="300"/>
      <c r="U17" s="300"/>
    </row>
    <row r="18" spans="2:21" x14ac:dyDescent="0.25">
      <c r="B18" t="s">
        <v>4</v>
      </c>
      <c r="C18" s="18">
        <f t="shared" si="6"/>
        <v>0</v>
      </c>
      <c r="D18" s="18">
        <f>SUM(D8:E8)/$C$22</f>
        <v>636.85547102029386</v>
      </c>
      <c r="E18" s="18">
        <f>SUM(F8:G8)/$C$22</f>
        <v>0</v>
      </c>
      <c r="F18" s="18">
        <f>SUM(H8:I8)/$C$22</f>
        <v>0</v>
      </c>
      <c r="G18" s="18">
        <f>SUM(J8:K8)/$C$22</f>
        <v>0</v>
      </c>
      <c r="H18" s="18">
        <f>SUM(L8:M8)/$C$22</f>
        <v>0</v>
      </c>
      <c r="I18" s="7">
        <f t="shared" si="7"/>
        <v>636.85547102029386</v>
      </c>
      <c r="K18" s="298"/>
      <c r="L18" s="299"/>
      <c r="M18" s="299"/>
      <c r="N18" s="299"/>
      <c r="O18" s="299"/>
      <c r="P18" s="264"/>
      <c r="Q18" s="300"/>
      <c r="R18" s="300"/>
      <c r="S18" s="300"/>
      <c r="T18" s="300"/>
      <c r="U18" s="300"/>
    </row>
    <row r="19" spans="2:21" x14ac:dyDescent="0.25">
      <c r="B19" s="3" t="s">
        <v>34</v>
      </c>
      <c r="C19" s="19">
        <f t="shared" ref="C19:G19" si="8">SUM(C15:C18)</f>
        <v>1884.5674677405239</v>
      </c>
      <c r="D19" s="19">
        <f t="shared" si="8"/>
        <v>17341.205531658201</v>
      </c>
      <c r="E19" s="19">
        <f t="shared" si="8"/>
        <v>18800.695919722595</v>
      </c>
      <c r="F19" s="19">
        <f t="shared" si="8"/>
        <v>0</v>
      </c>
      <c r="G19" s="19">
        <f t="shared" si="8"/>
        <v>0</v>
      </c>
      <c r="H19" s="19">
        <f>SUM(H15:H18)</f>
        <v>0</v>
      </c>
      <c r="I19" s="19">
        <f>SUM(I15:I18)</f>
        <v>38026.468919121318</v>
      </c>
      <c r="K19" s="298"/>
      <c r="L19" s="298"/>
      <c r="M19" s="298"/>
      <c r="N19" s="298"/>
      <c r="O19" s="298"/>
      <c r="P19" s="264"/>
      <c r="Q19" s="301"/>
      <c r="R19" s="301"/>
      <c r="S19" s="301"/>
      <c r="T19" s="301"/>
      <c r="U19" s="301"/>
    </row>
    <row r="20" spans="2:21" x14ac:dyDescent="0.25">
      <c r="C20" s="318">
        <f t="shared" ref="C20:D20" si="9">C19/$I$19</f>
        <v>4.9559360132775399E-2</v>
      </c>
      <c r="D20" s="318">
        <f t="shared" si="9"/>
        <v>0.45602986615826191</v>
      </c>
      <c r="E20" s="318">
        <f>E19/$I$19</f>
        <v>0.49441077370896275</v>
      </c>
      <c r="F20" s="318">
        <f t="shared" ref="F20:H20" si="10">F19/$I$19</f>
        <v>0</v>
      </c>
      <c r="G20" s="318">
        <f t="shared" si="10"/>
        <v>0</v>
      </c>
      <c r="H20" s="318">
        <f t="shared" si="10"/>
        <v>0</v>
      </c>
      <c r="K20" s="21"/>
      <c r="L20" s="230"/>
      <c r="M20" s="230"/>
      <c r="N20" s="230"/>
      <c r="O20" s="230"/>
    </row>
    <row r="21" spans="2:21" x14ac:dyDescent="0.25">
      <c r="K21" s="21"/>
      <c r="L21" s="230"/>
      <c r="M21" s="230"/>
      <c r="N21" s="230"/>
      <c r="O21" s="230"/>
    </row>
    <row r="22" spans="2:21" x14ac:dyDescent="0.25">
      <c r="B22" t="s">
        <v>33</v>
      </c>
      <c r="C22" s="26">
        <f>1+Escalators!G5</f>
        <v>1.0207768744354111</v>
      </c>
      <c r="K22" s="21"/>
      <c r="L22" s="230"/>
      <c r="M22" s="230"/>
      <c r="N22" s="230"/>
      <c r="O22" s="230"/>
    </row>
    <row r="24" spans="2:21" x14ac:dyDescent="0.25">
      <c r="C24" s="3"/>
      <c r="D24" s="3"/>
      <c r="E24" s="3"/>
      <c r="F24" s="3"/>
      <c r="G24" s="3"/>
      <c r="H24" s="3"/>
      <c r="I24" s="3"/>
    </row>
    <row r="25" spans="2:21" x14ac:dyDescent="0.25">
      <c r="C25" s="5"/>
      <c r="D25" s="5"/>
      <c r="E25" s="5"/>
      <c r="F25" s="5"/>
      <c r="G25" s="5"/>
      <c r="H25" s="5"/>
      <c r="I25" s="5"/>
    </row>
    <row r="26" spans="2:21" x14ac:dyDescent="0.25">
      <c r="D26" s="5"/>
      <c r="E26" s="5"/>
      <c r="F26" s="5"/>
      <c r="G26" s="5"/>
      <c r="H26" s="5"/>
    </row>
    <row r="27" spans="2:21" x14ac:dyDescent="0.25">
      <c r="E27" s="20"/>
      <c r="F27" s="20"/>
      <c r="G27" s="20"/>
      <c r="H27" s="20"/>
      <c r="I27" s="20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4"/>
  <sheetViews>
    <sheetView zoomScale="85" zoomScaleNormal="85" workbookViewId="0">
      <selection activeCell="B17" sqref="B17"/>
    </sheetView>
  </sheetViews>
  <sheetFormatPr defaultRowHeight="15" x14ac:dyDescent="0.25"/>
  <cols>
    <col min="1" max="1" width="4.7109375" customWidth="1"/>
    <col min="2" max="2" width="67.7109375" customWidth="1"/>
    <col min="3" max="3" width="10.5703125" customWidth="1"/>
    <col min="4" max="4" width="50.7109375" customWidth="1"/>
  </cols>
  <sheetData>
    <row r="2" spans="2:4" x14ac:dyDescent="0.25">
      <c r="B2" s="11" t="s">
        <v>70</v>
      </c>
    </row>
    <row r="3" spans="2:4" x14ac:dyDescent="0.25">
      <c r="B3" t="s">
        <v>71</v>
      </c>
      <c r="C3" s="46" t="s">
        <v>72</v>
      </c>
      <c r="D3" s="2" t="s">
        <v>73</v>
      </c>
    </row>
    <row r="5" spans="2:4" x14ac:dyDescent="0.25">
      <c r="B5" t="s">
        <v>74</v>
      </c>
      <c r="C5" s="47">
        <v>125</v>
      </c>
    </row>
    <row r="6" spans="2:4" x14ac:dyDescent="0.25">
      <c r="B6" t="s">
        <v>75</v>
      </c>
      <c r="C6" s="47">
        <v>152</v>
      </c>
    </row>
    <row r="7" spans="2:4" x14ac:dyDescent="0.25">
      <c r="B7" t="s">
        <v>76</v>
      </c>
      <c r="C7" s="47">
        <v>142</v>
      </c>
    </row>
    <row r="8" spans="2:4" x14ac:dyDescent="0.25">
      <c r="B8" t="s">
        <v>77</v>
      </c>
      <c r="C8" s="47">
        <v>165</v>
      </c>
    </row>
    <row r="9" spans="2:4" x14ac:dyDescent="0.25">
      <c r="B9" t="s">
        <v>78</v>
      </c>
      <c r="C9" s="47">
        <v>215</v>
      </c>
    </row>
    <row r="10" spans="2:4" x14ac:dyDescent="0.25">
      <c r="B10" t="s">
        <v>79</v>
      </c>
      <c r="C10" s="47">
        <v>152</v>
      </c>
    </row>
    <row r="11" spans="2:4" x14ac:dyDescent="0.25">
      <c r="B11" t="s">
        <v>80</v>
      </c>
      <c r="C11" s="47">
        <v>152</v>
      </c>
    </row>
    <row r="12" spans="2:4" x14ac:dyDescent="0.25">
      <c r="B12" t="s">
        <v>81</v>
      </c>
      <c r="C12" s="47">
        <v>152</v>
      </c>
    </row>
    <row r="14" spans="2:4" x14ac:dyDescent="0.25">
      <c r="B14" s="21"/>
      <c r="C14" s="247"/>
    </row>
    <row r="15" spans="2:4" x14ac:dyDescent="0.25">
      <c r="C15" s="46"/>
    </row>
    <row r="17" spans="2:4" x14ac:dyDescent="0.25">
      <c r="B17" s="48"/>
      <c r="C17" s="49"/>
      <c r="D17" s="50"/>
    </row>
    <row r="19" spans="2:4" x14ac:dyDescent="0.25">
      <c r="C19" s="47"/>
    </row>
    <row r="20" spans="2:4" x14ac:dyDescent="0.25">
      <c r="C20" s="47"/>
    </row>
    <row r="21" spans="2:4" x14ac:dyDescent="0.25">
      <c r="C21" s="47"/>
    </row>
    <row r="22" spans="2:4" x14ac:dyDescent="0.25">
      <c r="C22" s="47"/>
    </row>
    <row r="23" spans="2:4" x14ac:dyDescent="0.25">
      <c r="C23" s="47"/>
    </row>
    <row r="24" spans="2:4" x14ac:dyDescent="0.25">
      <c r="C24" s="47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workbookViewId="0">
      <selection activeCell="G22" sqref="G22"/>
    </sheetView>
  </sheetViews>
  <sheetFormatPr defaultRowHeight="15" x14ac:dyDescent="0.25"/>
  <cols>
    <col min="1" max="1" width="5.7109375" customWidth="1"/>
    <col min="2" max="2" width="32.7109375" customWidth="1"/>
    <col min="4" max="4" width="27.85546875" customWidth="1"/>
  </cols>
  <sheetData>
    <row r="2" spans="2:6" x14ac:dyDescent="0.25">
      <c r="B2" s="3" t="s">
        <v>82</v>
      </c>
      <c r="D2" s="3" t="s">
        <v>83</v>
      </c>
      <c r="F2" s="3" t="s">
        <v>84</v>
      </c>
    </row>
    <row r="3" spans="2:6" x14ac:dyDescent="0.25">
      <c r="B3" t="s">
        <v>3</v>
      </c>
      <c r="D3" t="s">
        <v>26</v>
      </c>
      <c r="F3" t="s">
        <v>85</v>
      </c>
    </row>
    <row r="4" spans="2:6" x14ac:dyDescent="0.25">
      <c r="B4" t="s">
        <v>86</v>
      </c>
      <c r="D4" t="s">
        <v>87</v>
      </c>
      <c r="F4" t="s">
        <v>88</v>
      </c>
    </row>
    <row r="5" spans="2:6" x14ac:dyDescent="0.25">
      <c r="B5" t="s">
        <v>2</v>
      </c>
      <c r="D5" t="s">
        <v>25</v>
      </c>
    </row>
    <row r="6" spans="2:6" x14ac:dyDescent="0.25">
      <c r="B6" t="s">
        <v>89</v>
      </c>
      <c r="D6" t="s">
        <v>90</v>
      </c>
    </row>
    <row r="7" spans="2:6" x14ac:dyDescent="0.25">
      <c r="B7" t="s">
        <v>91</v>
      </c>
      <c r="D7" t="s">
        <v>92</v>
      </c>
    </row>
    <row r="8" spans="2:6" x14ac:dyDescent="0.25">
      <c r="B8" t="s">
        <v>4</v>
      </c>
      <c r="D8" t="s">
        <v>93</v>
      </c>
    </row>
    <row r="9" spans="2:6" x14ac:dyDescent="0.25">
      <c r="D9" t="s">
        <v>94</v>
      </c>
    </row>
    <row r="12" spans="2:6" x14ac:dyDescent="0.25">
      <c r="B12" s="3" t="s">
        <v>95</v>
      </c>
      <c r="C12" s="3" t="s">
        <v>96</v>
      </c>
    </row>
    <row r="13" spans="2:6" x14ac:dyDescent="0.25">
      <c r="B13" s="310" t="s">
        <v>353</v>
      </c>
      <c r="C13" s="311" t="s">
        <v>351</v>
      </c>
    </row>
    <row r="14" spans="2:6" x14ac:dyDescent="0.25">
      <c r="B14" s="327" t="s">
        <v>350</v>
      </c>
      <c r="C14" s="326" t="s">
        <v>350</v>
      </c>
    </row>
    <row r="15" spans="2:6" x14ac:dyDescent="0.25">
      <c r="B15" s="312"/>
      <c r="C15" s="311"/>
    </row>
    <row r="16" spans="2:6" x14ac:dyDescent="0.25">
      <c r="B16" s="312"/>
      <c r="C16" s="313"/>
    </row>
    <row r="17" spans="2:3" x14ac:dyDescent="0.25">
      <c r="B17" s="314"/>
      <c r="C17" s="313"/>
    </row>
    <row r="18" spans="2:3" x14ac:dyDescent="0.25">
      <c r="B18" s="314"/>
      <c r="C18" s="313"/>
    </row>
    <row r="19" spans="2:3" x14ac:dyDescent="0.25">
      <c r="B19" s="312"/>
      <c r="C19" s="313"/>
    </row>
    <row r="20" spans="2:3" x14ac:dyDescent="0.25">
      <c r="B20" s="312"/>
      <c r="C20" s="313"/>
    </row>
    <row r="21" spans="2:3" x14ac:dyDescent="0.25">
      <c r="B21" s="314"/>
      <c r="C21" s="313"/>
    </row>
    <row r="22" spans="2:3" x14ac:dyDescent="0.25">
      <c r="B22" s="314"/>
      <c r="C22" s="313"/>
    </row>
    <row r="23" spans="2:3" x14ac:dyDescent="0.25">
      <c r="B23" s="314"/>
      <c r="C23" s="3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7"/>
  <sheetViews>
    <sheetView zoomScale="85" zoomScaleNormal="85" workbookViewId="0">
      <selection activeCell="D24" sqref="D24"/>
    </sheetView>
  </sheetViews>
  <sheetFormatPr defaultRowHeight="15" x14ac:dyDescent="0.25"/>
  <cols>
    <col min="1" max="1" width="4.140625" customWidth="1"/>
    <col min="2" max="2" width="17.7109375" customWidth="1"/>
    <col min="3" max="3" width="31.7109375" customWidth="1"/>
    <col min="4" max="4" width="11.7109375" customWidth="1"/>
    <col min="5" max="5" width="10.5703125" customWidth="1"/>
    <col min="6" max="9" width="9.5703125" customWidth="1"/>
    <col min="10" max="11" width="11" customWidth="1"/>
    <col min="12" max="15" width="9.28515625" bestFit="1" customWidth="1"/>
    <col min="16" max="16" width="10.28515625" bestFit="1" customWidth="1"/>
    <col min="17" max="17" width="10.5703125" bestFit="1" customWidth="1"/>
  </cols>
  <sheetData>
    <row r="1" spans="2:17" x14ac:dyDescent="0.25">
      <c r="B1" s="3" t="s">
        <v>410</v>
      </c>
      <c r="C1" s="3"/>
      <c r="D1" s="3"/>
    </row>
    <row r="3" spans="2:17" x14ac:dyDescent="0.25">
      <c r="B3" s="308" t="s">
        <v>29</v>
      </c>
    </row>
    <row r="4" spans="2:17" ht="30" x14ac:dyDescent="0.25">
      <c r="B4" s="3" t="s">
        <v>409</v>
      </c>
      <c r="C4" s="3" t="s">
        <v>5</v>
      </c>
      <c r="D4" s="309" t="s">
        <v>24</v>
      </c>
      <c r="E4" s="9" t="s">
        <v>15</v>
      </c>
      <c r="F4" s="9" t="s">
        <v>16</v>
      </c>
      <c r="G4" s="9" t="s">
        <v>17</v>
      </c>
      <c r="H4" s="9" t="s">
        <v>7</v>
      </c>
      <c r="I4" s="9" t="s">
        <v>8</v>
      </c>
      <c r="J4" s="9" t="s">
        <v>9</v>
      </c>
      <c r="K4" s="9" t="s">
        <v>10</v>
      </c>
      <c r="L4" s="9" t="s">
        <v>11</v>
      </c>
      <c r="M4" s="9" t="s">
        <v>12</v>
      </c>
      <c r="N4" s="9" t="s">
        <v>13</v>
      </c>
      <c r="O4" s="9" t="s">
        <v>14</v>
      </c>
      <c r="P4" s="9" t="s">
        <v>6</v>
      </c>
      <c r="Q4" s="9" t="s">
        <v>352</v>
      </c>
    </row>
    <row r="5" spans="2:17" x14ac:dyDescent="0.25">
      <c r="B5" s="224" t="s">
        <v>25</v>
      </c>
      <c r="C5" s="307" t="s">
        <v>3</v>
      </c>
      <c r="D5" s="306">
        <f>SUMIFS(KLO_Det!$P$141:$P$157,KLO_Det!$F$141:$F$157,C5&amp;B5)</f>
        <v>20494.093724786024</v>
      </c>
      <c r="E5" s="317">
        <f>$D5*Phasing!C$6</f>
        <v>1032.9741003652593</v>
      </c>
      <c r="F5" s="317">
        <f>$D5*Phasing!D$6</f>
        <v>3817.8550645500522</v>
      </c>
      <c r="G5" s="317">
        <f>$D5*Phasing!E$6</f>
        <v>5338.1774317349673</v>
      </c>
      <c r="H5" s="317">
        <f>$D5*Phasing!F$6</f>
        <v>6858.4997989198837</v>
      </c>
      <c r="I5" s="317">
        <f>$D5*Phasing!G$6</f>
        <v>3446.5873292158622</v>
      </c>
      <c r="J5" s="317">
        <f>$D5*Phasing!H$6</f>
        <v>0</v>
      </c>
      <c r="K5" s="317">
        <f>$D5*Phasing!I$6</f>
        <v>0</v>
      </c>
      <c r="L5" s="317">
        <f>$D5*Phasing!J$6</f>
        <v>0</v>
      </c>
      <c r="M5" s="317">
        <f>$D5*Phasing!K$6</f>
        <v>0</v>
      </c>
      <c r="N5" s="317">
        <f>$D5*Phasing!L$6</f>
        <v>0</v>
      </c>
      <c r="O5" s="317">
        <f>$D5*Phasing!M$6</f>
        <v>0</v>
      </c>
      <c r="P5" s="4">
        <f t="shared" ref="P5:P8" si="0">SUM(E5:O5)</f>
        <v>20494.093724786024</v>
      </c>
      <c r="Q5" s="75">
        <f>P5-D5</f>
        <v>0</v>
      </c>
    </row>
    <row r="6" spans="2:17" x14ac:dyDescent="0.25">
      <c r="B6" s="224" t="s">
        <v>25</v>
      </c>
      <c r="C6" s="307" t="s">
        <v>86</v>
      </c>
      <c r="D6" s="306">
        <f>SUMIFS(KLO_Det!$P$141:$P$157,KLO_Det!$F$141:$F$157,C6&amp;B6)</f>
        <v>9280.9733848327414</v>
      </c>
      <c r="E6" s="317">
        <f>$D6*Phasing!C$6</f>
        <v>467.79356342636294</v>
      </c>
      <c r="F6" s="317">
        <f>$D6*Phasing!D$6</f>
        <v>1728.9572165069173</v>
      </c>
      <c r="G6" s="317">
        <f>$D6*Phasing!E$6</f>
        <v>2417.451746476987</v>
      </c>
      <c r="H6" s="317">
        <f>$D6*Phasing!F$6</f>
        <v>3105.9462764470572</v>
      </c>
      <c r="I6" s="317">
        <f>$D6*Phasing!G$6</f>
        <v>1560.8245819754179</v>
      </c>
      <c r="J6" s="317">
        <f>$D6*Phasing!H$6</f>
        <v>0</v>
      </c>
      <c r="K6" s="317">
        <f>$D6*Phasing!I$6</f>
        <v>0</v>
      </c>
      <c r="L6" s="317">
        <f>$D6*Phasing!J$6</f>
        <v>0</v>
      </c>
      <c r="M6" s="317">
        <f>$D6*Phasing!K$6</f>
        <v>0</v>
      </c>
      <c r="N6" s="317">
        <f>$D6*Phasing!L$6</f>
        <v>0</v>
      </c>
      <c r="O6" s="317">
        <f>$D6*Phasing!M$6</f>
        <v>0</v>
      </c>
      <c r="P6" s="4">
        <f t="shared" si="0"/>
        <v>9280.9733848327414</v>
      </c>
      <c r="Q6" s="75">
        <f t="shared" ref="Q6:Q8" si="1">P6-D6</f>
        <v>0</v>
      </c>
    </row>
    <row r="7" spans="2:17" x14ac:dyDescent="0.25">
      <c r="B7" s="224" t="s">
        <v>25</v>
      </c>
      <c r="C7" s="307" t="s">
        <v>2</v>
      </c>
      <c r="D7" s="306">
        <f>SUMIFS(KLO_Det!$P$141:$P$157,KLO_Det!$F$141:$F$157,C7&amp;B7)</f>
        <v>5714.2200192518103</v>
      </c>
      <c r="E7" s="317">
        <f>$D7*Phasing!C$6</f>
        <v>288.01670193090825</v>
      </c>
      <c r="F7" s="317">
        <f>$D7*Phasing!D$6</f>
        <v>1064.5049316852189</v>
      </c>
      <c r="G7" s="317">
        <f>$D7*Phasing!E$6</f>
        <v>1488.405428235478</v>
      </c>
      <c r="H7" s="317">
        <f>$D7*Phasing!F$6</f>
        <v>1912.3059247857375</v>
      </c>
      <c r="I7" s="317">
        <f>$D7*Phasing!G$6</f>
        <v>960.98703261446792</v>
      </c>
      <c r="J7" s="317">
        <f>$D7*Phasing!H$6</f>
        <v>0</v>
      </c>
      <c r="K7" s="317">
        <f>$D7*Phasing!I$6</f>
        <v>0</v>
      </c>
      <c r="L7" s="317">
        <f>$D7*Phasing!J$6</f>
        <v>0</v>
      </c>
      <c r="M7" s="317">
        <f>$D7*Phasing!K$6</f>
        <v>0</v>
      </c>
      <c r="N7" s="317">
        <f>$D7*Phasing!L$6</f>
        <v>0</v>
      </c>
      <c r="O7" s="317">
        <f>$D7*Phasing!M$6</f>
        <v>0</v>
      </c>
      <c r="P7" s="4">
        <f t="shared" si="0"/>
        <v>5714.2200192518112</v>
      </c>
      <c r="Q7" s="75">
        <f t="shared" si="1"/>
        <v>0</v>
      </c>
    </row>
    <row r="8" spans="2:17" x14ac:dyDescent="0.25">
      <c r="B8" s="224" t="s">
        <v>27</v>
      </c>
      <c r="C8" s="307" t="s">
        <v>4</v>
      </c>
      <c r="D8" s="306">
        <f>SUMIFS(KLO_Det!$P$141:$P$157,KLO_Det!$F$141:$F$157,C8&amp;B8)</f>
        <v>650.08733717518714</v>
      </c>
      <c r="E8" s="317">
        <v>0</v>
      </c>
      <c r="F8" s="317">
        <f>D8</f>
        <v>650.08733717518714</v>
      </c>
      <c r="G8" s="317">
        <v>0</v>
      </c>
      <c r="H8" s="317">
        <v>0</v>
      </c>
      <c r="I8" s="317">
        <v>0</v>
      </c>
      <c r="J8" s="317">
        <v>0</v>
      </c>
      <c r="K8" s="317">
        <v>0</v>
      </c>
      <c r="L8" s="317">
        <v>0</v>
      </c>
      <c r="M8" s="317">
        <v>0</v>
      </c>
      <c r="N8" s="317">
        <v>0</v>
      </c>
      <c r="O8" s="317">
        <v>0</v>
      </c>
      <c r="P8" s="4">
        <f t="shared" si="0"/>
        <v>650.08733717518714</v>
      </c>
      <c r="Q8" s="75">
        <f t="shared" si="1"/>
        <v>0</v>
      </c>
    </row>
    <row r="9" spans="2:17" x14ac:dyDescent="0.25">
      <c r="B9" s="225" t="s">
        <v>6</v>
      </c>
      <c r="C9" s="225"/>
      <c r="D9" s="225"/>
      <c r="E9" s="346">
        <f t="shared" ref="E9:Q9" si="2">SUM(E5:E8)</f>
        <v>1788.7843657225305</v>
      </c>
      <c r="F9" s="346">
        <f t="shared" si="2"/>
        <v>7261.4045499173753</v>
      </c>
      <c r="G9" s="346">
        <f t="shared" si="2"/>
        <v>9244.0346064474325</v>
      </c>
      <c r="H9" s="346">
        <f t="shared" si="2"/>
        <v>11876.752000152679</v>
      </c>
      <c r="I9" s="346">
        <f t="shared" si="2"/>
        <v>5968.3989438057488</v>
      </c>
      <c r="J9" s="346">
        <f t="shared" si="2"/>
        <v>0</v>
      </c>
      <c r="K9" s="346">
        <f t="shared" si="2"/>
        <v>0</v>
      </c>
      <c r="L9" s="346">
        <f t="shared" si="2"/>
        <v>0</v>
      </c>
      <c r="M9" s="346">
        <f t="shared" si="2"/>
        <v>0</v>
      </c>
      <c r="N9" s="346">
        <f t="shared" si="2"/>
        <v>0</v>
      </c>
      <c r="O9" s="346">
        <f t="shared" si="2"/>
        <v>0</v>
      </c>
      <c r="P9" s="346">
        <f t="shared" si="2"/>
        <v>36139.374466045767</v>
      </c>
      <c r="Q9" s="75">
        <f t="shared" si="2"/>
        <v>0</v>
      </c>
    </row>
    <row r="10" spans="2:17" x14ac:dyDescent="0.25"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</row>
    <row r="11" spans="2:17" ht="30" x14ac:dyDescent="0.25">
      <c r="B11" s="3" t="s">
        <v>409</v>
      </c>
      <c r="C11" s="3" t="s">
        <v>5</v>
      </c>
      <c r="D11" s="309" t="s">
        <v>24</v>
      </c>
      <c r="E11" s="9" t="s">
        <v>15</v>
      </c>
      <c r="F11" s="9" t="s">
        <v>16</v>
      </c>
      <c r="G11" s="9" t="s">
        <v>17</v>
      </c>
      <c r="H11" s="9" t="s">
        <v>7</v>
      </c>
      <c r="I11" s="9" t="s">
        <v>8</v>
      </c>
      <c r="J11" s="9" t="s">
        <v>9</v>
      </c>
      <c r="K11" s="9" t="s">
        <v>10</v>
      </c>
      <c r="L11" s="9" t="s">
        <v>11</v>
      </c>
      <c r="M11" s="9" t="s">
        <v>12</v>
      </c>
      <c r="N11" s="9" t="s">
        <v>13</v>
      </c>
      <c r="O11" s="9" t="s">
        <v>14</v>
      </c>
      <c r="P11" s="9" t="s">
        <v>6</v>
      </c>
      <c r="Q11" s="9" t="s">
        <v>352</v>
      </c>
    </row>
    <row r="12" spans="2:17" x14ac:dyDescent="0.25">
      <c r="B12" s="224" t="s">
        <v>26</v>
      </c>
      <c r="C12" s="307" t="s">
        <v>3</v>
      </c>
      <c r="D12" s="306">
        <f>SUMIFS(KLO_Det!$P$141:$P$157,KLO_Det!$F$141:$F$157,C12&amp;B12)</f>
        <v>0</v>
      </c>
      <c r="E12" s="317">
        <f>$D12*Phasing!C$6</f>
        <v>0</v>
      </c>
      <c r="F12" s="317">
        <f>$D12*Phasing!D$6</f>
        <v>0</v>
      </c>
      <c r="G12" s="317">
        <f>$D12*Phasing!E$6</f>
        <v>0</v>
      </c>
      <c r="H12" s="317">
        <f>$D12*Phasing!F$6</f>
        <v>0</v>
      </c>
      <c r="I12" s="317">
        <f>$D12*Phasing!G$6</f>
        <v>0</v>
      </c>
      <c r="J12" s="317">
        <f>$D12*Phasing!H$6</f>
        <v>0</v>
      </c>
      <c r="K12" s="317">
        <f>$D12*Phasing!I$6</f>
        <v>0</v>
      </c>
      <c r="L12" s="317">
        <f>$D12*Phasing!J$6</f>
        <v>0</v>
      </c>
      <c r="M12" s="317">
        <f>$D12*Phasing!K$6</f>
        <v>0</v>
      </c>
      <c r="N12" s="317">
        <f>$D12*Phasing!L$6</f>
        <v>0</v>
      </c>
      <c r="O12" s="317">
        <f>$D12*Phasing!M$6</f>
        <v>0</v>
      </c>
      <c r="P12" s="4">
        <f t="shared" ref="P12:P14" si="3">SUM(E12:O12)</f>
        <v>0</v>
      </c>
      <c r="Q12" s="75">
        <f>P12-D12</f>
        <v>0</v>
      </c>
    </row>
    <row r="13" spans="2:17" x14ac:dyDescent="0.25">
      <c r="B13" s="224" t="s">
        <v>26</v>
      </c>
      <c r="C13" s="307" t="s">
        <v>86</v>
      </c>
      <c r="D13" s="306">
        <f>SUMIFS(KLO_Det!$P$141:$P$157,KLO_Det!$F$141:$F$157,C13&amp;B13)</f>
        <v>2677.1656230301996</v>
      </c>
      <c r="E13" s="317">
        <f>$D13*Phasing!C$6</f>
        <v>134.93852366029878</v>
      </c>
      <c r="F13" s="317">
        <f>$D13*Phasing!D$6</f>
        <v>498.73053523531013</v>
      </c>
      <c r="G13" s="317">
        <f>$D13*Phasing!E$6</f>
        <v>697.33188994800048</v>
      </c>
      <c r="H13" s="317">
        <f>$D13*Phasing!F$6</f>
        <v>895.933244660691</v>
      </c>
      <c r="I13" s="317">
        <f>$D13*Phasing!G$6</f>
        <v>450.23142952589939</v>
      </c>
      <c r="J13" s="317">
        <f>$D13*Phasing!H$6</f>
        <v>0</v>
      </c>
      <c r="K13" s="317">
        <f>$D13*Phasing!I$6</f>
        <v>0</v>
      </c>
      <c r="L13" s="317">
        <f>$D13*Phasing!J$6</f>
        <v>0</v>
      </c>
      <c r="M13" s="317">
        <f>$D13*Phasing!K$6</f>
        <v>0</v>
      </c>
      <c r="N13" s="317">
        <f>$D13*Phasing!L$6</f>
        <v>0</v>
      </c>
      <c r="O13" s="317">
        <f>$D13*Phasing!M$6</f>
        <v>0</v>
      </c>
      <c r="P13" s="4">
        <f t="shared" si="3"/>
        <v>2677.1656230301996</v>
      </c>
      <c r="Q13" s="75">
        <f t="shared" ref="Q13:Q14" si="4">P13-D13</f>
        <v>0</v>
      </c>
    </row>
    <row r="14" spans="2:17" x14ac:dyDescent="0.25">
      <c r="B14" s="224" t="s">
        <v>26</v>
      </c>
      <c r="C14" s="307" t="s">
        <v>2</v>
      </c>
      <c r="D14" s="306">
        <f>SUMIFS(KLO_Det!$P$141:$P$157,KLO_Det!$F$141:$F$157,C14&amp;B14)</f>
        <v>0</v>
      </c>
      <c r="E14" s="317">
        <f>$D14*Phasing!C$6</f>
        <v>0</v>
      </c>
      <c r="F14" s="317">
        <f>$D14*Phasing!D$6</f>
        <v>0</v>
      </c>
      <c r="G14" s="317">
        <f>$D14*Phasing!E$6</f>
        <v>0</v>
      </c>
      <c r="H14" s="317">
        <f>$D14*Phasing!F$6</f>
        <v>0</v>
      </c>
      <c r="I14" s="317">
        <f>$D14*Phasing!G$6</f>
        <v>0</v>
      </c>
      <c r="J14" s="317">
        <f>$D14*Phasing!H$6</f>
        <v>0</v>
      </c>
      <c r="K14" s="317">
        <f>$D14*Phasing!I$6</f>
        <v>0</v>
      </c>
      <c r="L14" s="317">
        <f>$D14*Phasing!J$6</f>
        <v>0</v>
      </c>
      <c r="M14" s="317">
        <f>$D14*Phasing!K$6</f>
        <v>0</v>
      </c>
      <c r="N14" s="317">
        <f>$D14*Phasing!L$6</f>
        <v>0</v>
      </c>
      <c r="O14" s="317">
        <f>$D14*Phasing!M$6</f>
        <v>0</v>
      </c>
      <c r="P14" s="4">
        <f t="shared" si="3"/>
        <v>0</v>
      </c>
      <c r="Q14" s="75">
        <f t="shared" si="4"/>
        <v>0</v>
      </c>
    </row>
    <row r="15" spans="2:17" x14ac:dyDescent="0.25">
      <c r="B15" s="225" t="s">
        <v>6</v>
      </c>
      <c r="C15" s="225"/>
      <c r="D15" s="225"/>
      <c r="E15" s="346">
        <f t="shared" ref="E15:Q15" si="5">SUM(E12:E14)</f>
        <v>134.93852366029878</v>
      </c>
      <c r="F15" s="346">
        <f t="shared" si="5"/>
        <v>498.73053523531013</v>
      </c>
      <c r="G15" s="346">
        <f t="shared" si="5"/>
        <v>697.33188994800048</v>
      </c>
      <c r="H15" s="346">
        <f t="shared" si="5"/>
        <v>895.933244660691</v>
      </c>
      <c r="I15" s="346">
        <f t="shared" si="5"/>
        <v>450.23142952589939</v>
      </c>
      <c r="J15" s="346">
        <f t="shared" si="5"/>
        <v>0</v>
      </c>
      <c r="K15" s="346">
        <f t="shared" si="5"/>
        <v>0</v>
      </c>
      <c r="L15" s="346">
        <f t="shared" si="5"/>
        <v>0</v>
      </c>
      <c r="M15" s="346">
        <f t="shared" si="5"/>
        <v>0</v>
      </c>
      <c r="N15" s="346">
        <f t="shared" si="5"/>
        <v>0</v>
      </c>
      <c r="O15" s="346">
        <f t="shared" si="5"/>
        <v>0</v>
      </c>
      <c r="P15" s="346">
        <f t="shared" si="5"/>
        <v>2677.1656230301996</v>
      </c>
      <c r="Q15" s="75">
        <f t="shared" si="5"/>
        <v>0</v>
      </c>
    </row>
    <row r="16" spans="2:17" ht="15.75" thickBot="1" x14ac:dyDescent="0.3">
      <c r="B16" s="307" t="s">
        <v>30</v>
      </c>
      <c r="E16" s="352">
        <f>E9+E15</f>
        <v>1923.7228893828294</v>
      </c>
      <c r="F16" s="352">
        <f t="shared" ref="F16:P16" si="6">F9+F15</f>
        <v>7760.1350851526859</v>
      </c>
      <c r="G16" s="352">
        <f t="shared" si="6"/>
        <v>9941.3664963954325</v>
      </c>
      <c r="H16" s="352">
        <f t="shared" si="6"/>
        <v>12772.68524481337</v>
      </c>
      <c r="I16" s="352">
        <f t="shared" si="6"/>
        <v>6418.6303733316481</v>
      </c>
      <c r="J16" s="352">
        <f t="shared" si="6"/>
        <v>0</v>
      </c>
      <c r="K16" s="352">
        <f t="shared" si="6"/>
        <v>0</v>
      </c>
      <c r="L16" s="352">
        <f t="shared" si="6"/>
        <v>0</v>
      </c>
      <c r="M16" s="352">
        <f t="shared" si="6"/>
        <v>0</v>
      </c>
      <c r="N16" s="352">
        <f t="shared" si="6"/>
        <v>0</v>
      </c>
      <c r="O16" s="352">
        <f t="shared" si="6"/>
        <v>0</v>
      </c>
      <c r="P16" s="352">
        <f t="shared" si="6"/>
        <v>38816.540089075963</v>
      </c>
    </row>
    <row r="19" spans="3:11" ht="45" x14ac:dyDescent="0.25">
      <c r="C19" s="3" t="s">
        <v>441</v>
      </c>
      <c r="E19" s="9" t="s">
        <v>19</v>
      </c>
      <c r="F19" s="9" t="s">
        <v>20</v>
      </c>
      <c r="G19" s="9" t="s">
        <v>21</v>
      </c>
      <c r="H19" s="9" t="s">
        <v>22</v>
      </c>
      <c r="I19" s="9" t="s">
        <v>23</v>
      </c>
      <c r="J19" s="9" t="s">
        <v>442</v>
      </c>
      <c r="K19" s="353" t="s">
        <v>443</v>
      </c>
    </row>
    <row r="20" spans="3:11" x14ac:dyDescent="0.25">
      <c r="C20" s="224" t="s">
        <v>351</v>
      </c>
      <c r="E20" s="4">
        <f>KLO_Det!K125</f>
        <v>15263.811408148778</v>
      </c>
      <c r="F20" s="4">
        <f>KLO_Det!L125</f>
        <v>2701.6438969663932</v>
      </c>
      <c r="G20" s="4">
        <f>KLO_Det!M125</f>
        <v>3386.2580046363873</v>
      </c>
      <c r="H20" s="4">
        <f>KLO_Det!N125</f>
        <v>16257.319360433303</v>
      </c>
      <c r="I20" s="4">
        <f>KLO_Det!O125</f>
        <v>1207.5074188911049</v>
      </c>
      <c r="J20" s="4">
        <f>SUM(E20:I20)</f>
        <v>38816.540089075963</v>
      </c>
      <c r="K20" s="354">
        <f>SUMPRODUCT(E20:I20,E27:I27)</f>
        <v>39459.416183769325</v>
      </c>
    </row>
    <row r="21" spans="3:11" x14ac:dyDescent="0.25">
      <c r="C21" s="224" t="s">
        <v>444</v>
      </c>
      <c r="E21" s="4">
        <f>Spare_Det!K96</f>
        <v>0</v>
      </c>
      <c r="F21" s="4">
        <f>Spare_Det!L96</f>
        <v>0</v>
      </c>
      <c r="G21" s="4">
        <f>Spare_Det!M96</f>
        <v>0</v>
      </c>
      <c r="H21" s="4">
        <f>Spare_Det!N96</f>
        <v>0</v>
      </c>
      <c r="I21" s="4">
        <f>Spare_Det!O96</f>
        <v>0</v>
      </c>
      <c r="J21" s="4">
        <f>SUM(E21:I21)</f>
        <v>0</v>
      </c>
      <c r="K21" s="354">
        <f>SUMPRODUCT(E21:I21,E28:I28)</f>
        <v>0</v>
      </c>
    </row>
    <row r="22" spans="3:11" x14ac:dyDescent="0.25">
      <c r="C22" s="3" t="s">
        <v>6</v>
      </c>
      <c r="E22" s="355">
        <f t="shared" ref="E22:I22" si="7">SUM(E20:E21)</f>
        <v>15263.811408148778</v>
      </c>
      <c r="F22" s="355">
        <f t="shared" si="7"/>
        <v>2701.6438969663932</v>
      </c>
      <c r="G22" s="355">
        <f t="shared" si="7"/>
        <v>3386.2580046363873</v>
      </c>
      <c r="H22" s="355">
        <f t="shared" si="7"/>
        <v>16257.319360433303</v>
      </c>
      <c r="I22" s="355">
        <f t="shared" si="7"/>
        <v>1207.5074188911049</v>
      </c>
      <c r="J22" s="355">
        <f>SUM(J20:J21)</f>
        <v>38816.540089075963</v>
      </c>
      <c r="K22" s="356">
        <f t="shared" ref="K22" si="8">SUM(K20:K21)</f>
        <v>39459.416183769325</v>
      </c>
    </row>
    <row r="24" spans="3:11" x14ac:dyDescent="0.25">
      <c r="C24" t="s">
        <v>445</v>
      </c>
      <c r="D24" s="24">
        <f>1+[1]Escalators!$O$12</f>
        <v>1.0159292035398231</v>
      </c>
    </row>
    <row r="25" spans="3:11" x14ac:dyDescent="0.25">
      <c r="C25" t="s">
        <v>446</v>
      </c>
      <c r="D25" s="24">
        <f>1+[1]Escalators!$O$26</f>
        <v>1.0089480509403161</v>
      </c>
    </row>
    <row r="27" spans="3:11" x14ac:dyDescent="0.25">
      <c r="C27" t="s">
        <v>447</v>
      </c>
      <c r="E27" s="26">
        <f>$D24</f>
        <v>1.0159292035398231</v>
      </c>
      <c r="F27" s="357">
        <f>$D24*D25</f>
        <v>1.0250197898048523</v>
      </c>
      <c r="G27" s="26">
        <f>$D24</f>
        <v>1.0159292035398231</v>
      </c>
      <c r="H27" s="26">
        <f>$D24</f>
        <v>1.0159292035398231</v>
      </c>
      <c r="I27" s="26">
        <f>$D24</f>
        <v>1.0159292035398231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X26"/>
  <sheetViews>
    <sheetView zoomScale="85" zoomScaleNormal="85" workbookViewId="0"/>
  </sheetViews>
  <sheetFormatPr defaultRowHeight="15" x14ac:dyDescent="0.25"/>
  <cols>
    <col min="1" max="1" width="3.7109375" customWidth="1"/>
    <col min="18" max="24" width="11.7109375" customWidth="1"/>
  </cols>
  <sheetData>
    <row r="2" spans="2:24" x14ac:dyDescent="0.25">
      <c r="B2" s="21" t="s">
        <v>407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2:24" x14ac:dyDescent="0.2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2:24" ht="30" x14ac:dyDescent="0.25">
      <c r="B4" s="21"/>
      <c r="C4" s="220" t="s">
        <v>15</v>
      </c>
      <c r="D4" s="220" t="s">
        <v>16</v>
      </c>
      <c r="E4" s="220" t="s">
        <v>17</v>
      </c>
      <c r="F4" s="220" t="s">
        <v>7</v>
      </c>
      <c r="G4" s="220" t="s">
        <v>8</v>
      </c>
      <c r="H4" s="220" t="s">
        <v>9</v>
      </c>
      <c r="I4" s="220" t="s">
        <v>10</v>
      </c>
      <c r="J4" s="220" t="s">
        <v>11</v>
      </c>
      <c r="K4" s="220" t="s">
        <v>12</v>
      </c>
      <c r="L4" s="220" t="s">
        <v>13</v>
      </c>
      <c r="M4" s="220" t="s">
        <v>14</v>
      </c>
      <c r="N4" s="220" t="s">
        <v>0</v>
      </c>
      <c r="R4" s="309"/>
      <c r="S4" s="350"/>
      <c r="T4" s="309"/>
      <c r="U4" s="309"/>
      <c r="V4" s="309"/>
      <c r="W4" s="309"/>
      <c r="X4" s="309"/>
    </row>
    <row r="5" spans="2:24" x14ac:dyDescent="0.25">
      <c r="B5" s="21" t="s">
        <v>297</v>
      </c>
      <c r="C5" s="21"/>
      <c r="D5" s="21"/>
      <c r="E5" s="21"/>
      <c r="F5" s="226"/>
      <c r="G5" s="226"/>
      <c r="H5" s="226"/>
      <c r="I5" s="226"/>
      <c r="J5" s="226"/>
      <c r="K5" s="226"/>
      <c r="L5" s="226"/>
      <c r="M5" s="226"/>
      <c r="N5" s="221"/>
    </row>
    <row r="6" spans="2:24" x14ac:dyDescent="0.25">
      <c r="B6" s="224" t="str">
        <f>STN_1</f>
        <v>KLO</v>
      </c>
      <c r="C6" s="316">
        <v>5.0403502308372726E-2</v>
      </c>
      <c r="D6" s="316">
        <v>0.18629050475809289</v>
      </c>
      <c r="E6" s="316">
        <v>0.26047394451401645</v>
      </c>
      <c r="F6" s="315">
        <v>0.33465738426994007</v>
      </c>
      <c r="G6" s="315">
        <v>0.16817466414957793</v>
      </c>
      <c r="H6" s="315"/>
      <c r="I6" s="315"/>
      <c r="J6" s="315"/>
      <c r="K6" s="315"/>
      <c r="L6" s="315"/>
      <c r="M6" s="315"/>
      <c r="N6" s="221">
        <f t="shared" ref="N6:N7" si="0">SUM(C6:M6)</f>
        <v>1</v>
      </c>
      <c r="R6" s="1"/>
      <c r="S6" s="1"/>
      <c r="T6" s="1"/>
      <c r="U6" s="1"/>
      <c r="V6" s="1"/>
      <c r="W6" s="1"/>
      <c r="X6" s="1"/>
    </row>
    <row r="7" spans="2:24" x14ac:dyDescent="0.25">
      <c r="B7" s="224" t="str">
        <f>STN_2</f>
        <v>&lt;spare&gt;</v>
      </c>
      <c r="C7" s="316"/>
      <c r="D7" s="316"/>
      <c r="E7" s="316"/>
      <c r="F7" s="315"/>
      <c r="G7" s="315"/>
      <c r="H7" s="315"/>
      <c r="I7" s="315"/>
      <c r="J7" s="315"/>
      <c r="K7" s="315"/>
      <c r="L7" s="315"/>
      <c r="M7" s="315"/>
      <c r="N7" s="221">
        <f t="shared" si="0"/>
        <v>0</v>
      </c>
      <c r="R7" s="1"/>
      <c r="S7" s="1"/>
      <c r="T7" s="1"/>
      <c r="U7" s="1"/>
      <c r="V7" s="1"/>
      <c r="W7" s="1"/>
      <c r="X7" s="1"/>
    </row>
    <row r="8" spans="2:24" x14ac:dyDescent="0.25">
      <c r="B8" s="224">
        <f>STN_3</f>
        <v>0</v>
      </c>
      <c r="C8" s="316"/>
      <c r="D8" s="316"/>
      <c r="E8" s="316"/>
      <c r="F8" s="315"/>
      <c r="G8" s="315"/>
      <c r="H8" s="315"/>
      <c r="I8" s="315"/>
      <c r="J8" s="315"/>
      <c r="K8" s="315"/>
      <c r="L8" s="315"/>
      <c r="M8" s="315"/>
      <c r="N8" s="221">
        <f>SUM(C8:M8)</f>
        <v>0</v>
      </c>
      <c r="R8" s="1"/>
      <c r="S8" s="1"/>
      <c r="T8" s="1"/>
      <c r="U8" s="1"/>
      <c r="V8" s="1"/>
      <c r="W8" s="1"/>
      <c r="X8" s="1"/>
    </row>
    <row r="9" spans="2:24" x14ac:dyDescent="0.25">
      <c r="B9" s="224">
        <f>STN_4</f>
        <v>0</v>
      </c>
      <c r="C9" s="316"/>
      <c r="D9" s="316"/>
      <c r="E9" s="316"/>
      <c r="F9" s="315"/>
      <c r="G9" s="315"/>
      <c r="H9" s="315"/>
      <c r="I9" s="315"/>
      <c r="J9" s="315"/>
      <c r="K9" s="315"/>
      <c r="L9" s="315"/>
      <c r="M9" s="315"/>
      <c r="N9" s="221">
        <f t="shared" ref="N9:N14" si="1">SUM(C9:M9)</f>
        <v>0</v>
      </c>
      <c r="R9" s="1"/>
      <c r="S9" s="1"/>
      <c r="T9" s="1"/>
      <c r="U9" s="1"/>
      <c r="V9" s="1"/>
      <c r="W9" s="1"/>
      <c r="X9" s="1"/>
    </row>
    <row r="10" spans="2:24" x14ac:dyDescent="0.25">
      <c r="B10" s="224">
        <f>STN_5</f>
        <v>0</v>
      </c>
      <c r="C10" s="316"/>
      <c r="D10" s="316"/>
      <c r="E10" s="316"/>
      <c r="F10" s="315"/>
      <c r="G10" s="315"/>
      <c r="H10" s="315"/>
      <c r="I10" s="315"/>
      <c r="J10" s="315"/>
      <c r="K10" s="315"/>
      <c r="L10" s="315"/>
      <c r="M10" s="315"/>
      <c r="N10" s="221">
        <f t="shared" si="1"/>
        <v>0</v>
      </c>
      <c r="R10" s="1"/>
      <c r="S10" s="1"/>
      <c r="T10" s="1"/>
      <c r="U10" s="1"/>
      <c r="V10" s="1"/>
      <c r="W10" s="1"/>
      <c r="X10" s="1"/>
    </row>
    <row r="11" spans="2:24" x14ac:dyDescent="0.25">
      <c r="B11" s="224">
        <f>STN_6</f>
        <v>0</v>
      </c>
      <c r="C11" s="316"/>
      <c r="D11" s="316"/>
      <c r="E11" s="316"/>
      <c r="F11" s="315"/>
      <c r="G11" s="315"/>
      <c r="H11" s="315"/>
      <c r="I11" s="315"/>
      <c r="J11" s="315"/>
      <c r="K11" s="315"/>
      <c r="L11" s="315"/>
      <c r="M11" s="315"/>
      <c r="N11" s="221">
        <f t="shared" si="1"/>
        <v>0</v>
      </c>
      <c r="R11" s="1"/>
      <c r="S11" s="1"/>
      <c r="T11" s="1"/>
      <c r="U11" s="1"/>
      <c r="V11" s="1"/>
      <c r="W11" s="1"/>
      <c r="X11" s="1"/>
    </row>
    <row r="12" spans="2:24" x14ac:dyDescent="0.25">
      <c r="B12" s="224">
        <f>STN_7</f>
        <v>0</v>
      </c>
      <c r="C12" s="316"/>
      <c r="D12" s="316"/>
      <c r="E12" s="316"/>
      <c r="F12" s="315"/>
      <c r="G12" s="315"/>
      <c r="H12" s="315"/>
      <c r="I12" s="315"/>
      <c r="J12" s="315"/>
      <c r="K12" s="315"/>
      <c r="L12" s="315"/>
      <c r="M12" s="315"/>
      <c r="N12" s="221">
        <f t="shared" si="1"/>
        <v>0</v>
      </c>
      <c r="R12" s="1"/>
      <c r="S12" s="1"/>
      <c r="T12" s="1"/>
      <c r="U12" s="1"/>
      <c r="V12" s="1"/>
      <c r="W12" s="1"/>
      <c r="X12" s="1"/>
    </row>
    <row r="13" spans="2:24" x14ac:dyDescent="0.25">
      <c r="B13" s="224">
        <f>STN_8</f>
        <v>0</v>
      </c>
      <c r="C13" s="316"/>
      <c r="D13" s="316"/>
      <c r="E13" s="316"/>
      <c r="F13" s="315"/>
      <c r="G13" s="315"/>
      <c r="H13" s="315"/>
      <c r="I13" s="315"/>
      <c r="J13" s="315"/>
      <c r="K13" s="315"/>
      <c r="L13" s="315"/>
      <c r="M13" s="315"/>
      <c r="N13" s="221">
        <f t="shared" si="1"/>
        <v>0</v>
      </c>
      <c r="R13" s="1"/>
      <c r="S13" s="1"/>
      <c r="T13" s="1"/>
      <c r="U13" s="1"/>
      <c r="V13" s="1"/>
      <c r="W13" s="1"/>
      <c r="X13" s="1"/>
    </row>
    <row r="14" spans="2:24" x14ac:dyDescent="0.25">
      <c r="B14" s="224">
        <f>STN_9</f>
        <v>0</v>
      </c>
      <c r="C14" s="316"/>
      <c r="D14" s="316"/>
      <c r="E14" s="316"/>
      <c r="F14" s="315"/>
      <c r="G14" s="315"/>
      <c r="H14" s="315"/>
      <c r="I14" s="51"/>
      <c r="J14" s="51"/>
      <c r="K14" s="51"/>
      <c r="L14" s="51"/>
      <c r="M14" s="51"/>
      <c r="N14" s="221">
        <f t="shared" si="1"/>
        <v>0</v>
      </c>
      <c r="R14" s="1"/>
      <c r="S14" s="1"/>
      <c r="T14" s="1"/>
      <c r="U14" s="1"/>
      <c r="V14" s="1"/>
      <c r="W14" s="1"/>
      <c r="X14" s="1"/>
    </row>
    <row r="15" spans="2:24" x14ac:dyDescent="0.25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2:24" x14ac:dyDescent="0.25">
      <c r="B16" s="21"/>
      <c r="C16" s="21"/>
      <c r="D16" s="21"/>
      <c r="E16" s="222"/>
      <c r="F16" s="222"/>
      <c r="G16" s="222"/>
      <c r="H16" s="222"/>
      <c r="I16" s="222"/>
      <c r="J16" s="222"/>
      <c r="K16" s="222"/>
      <c r="L16" s="21"/>
      <c r="M16" s="21"/>
      <c r="N16" s="21"/>
    </row>
    <row r="17" spans="2:14" x14ac:dyDescent="0.25">
      <c r="B17" s="21"/>
      <c r="C17" s="21"/>
      <c r="D17" s="21"/>
      <c r="E17" s="21"/>
      <c r="F17" s="223"/>
      <c r="G17" s="223"/>
      <c r="H17" s="223"/>
      <c r="I17" s="223"/>
      <c r="J17" s="223"/>
      <c r="K17" s="221"/>
      <c r="L17" s="21"/>
      <c r="M17" s="21"/>
      <c r="N17" s="21"/>
    </row>
    <row r="18" spans="2:14" x14ac:dyDescent="0.25">
      <c r="F18" s="223"/>
      <c r="G18" s="223"/>
      <c r="H18" s="223"/>
      <c r="I18" s="223"/>
      <c r="J18" s="223"/>
      <c r="K18" s="221"/>
    </row>
    <row r="19" spans="2:14" x14ac:dyDescent="0.25">
      <c r="F19" s="223"/>
      <c r="G19" s="223"/>
      <c r="H19" s="223"/>
      <c r="I19" s="223"/>
      <c r="J19" s="223"/>
      <c r="K19" s="221"/>
    </row>
    <row r="20" spans="2:14" x14ac:dyDescent="0.25">
      <c r="F20" s="223"/>
      <c r="G20" s="223"/>
      <c r="H20" s="223"/>
      <c r="I20" s="223"/>
      <c r="J20" s="223"/>
      <c r="K20" s="221"/>
    </row>
    <row r="21" spans="2:14" x14ac:dyDescent="0.25">
      <c r="F21" s="223"/>
      <c r="G21" s="223"/>
      <c r="H21" s="223"/>
      <c r="I21" s="223"/>
      <c r="J21" s="223"/>
      <c r="K21" s="221"/>
    </row>
    <row r="22" spans="2:14" x14ac:dyDescent="0.25">
      <c r="F22" s="223"/>
      <c r="G22" s="223"/>
      <c r="H22" s="223"/>
      <c r="I22" s="223"/>
      <c r="J22" s="223"/>
      <c r="K22" s="221"/>
    </row>
    <row r="23" spans="2:14" x14ac:dyDescent="0.25">
      <c r="F23" s="223"/>
      <c r="G23" s="223"/>
      <c r="H23" s="223"/>
      <c r="I23" s="223"/>
      <c r="J23" s="223"/>
      <c r="K23" s="221"/>
    </row>
    <row r="24" spans="2:14" x14ac:dyDescent="0.25">
      <c r="F24" s="223"/>
      <c r="G24" s="223"/>
      <c r="H24" s="223"/>
      <c r="I24" s="223"/>
      <c r="J24" s="223"/>
      <c r="K24" s="221"/>
    </row>
    <row r="25" spans="2:14" x14ac:dyDescent="0.25">
      <c r="F25" s="223"/>
      <c r="G25" s="223"/>
      <c r="H25" s="223"/>
      <c r="I25" s="223"/>
      <c r="J25" s="223"/>
      <c r="K25" s="221"/>
    </row>
    <row r="26" spans="2:14" x14ac:dyDescent="0.25">
      <c r="F26" s="223"/>
      <c r="G26" s="223"/>
      <c r="H26" s="223"/>
      <c r="I26" s="223"/>
      <c r="J26" s="223"/>
      <c r="K26" s="22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AV271"/>
  <sheetViews>
    <sheetView tabSelected="1" zoomScale="70" zoomScaleNormal="70" workbookViewId="0">
      <pane xSplit="3" ySplit="4" topLeftCell="D38" activePane="bottomRight" state="frozen"/>
      <selection activeCell="L125" sqref="L125"/>
      <selection pane="topRight" activeCell="L125" sqref="L125"/>
      <selection pane="bottomLeft" activeCell="L125" sqref="L125"/>
      <selection pane="bottomRight" activeCell="I65" sqref="I65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59.5703125" style="21" customWidth="1"/>
    <col min="4" max="4" width="20" customWidth="1" outlineLevel="1"/>
    <col min="5" max="6" width="15.28515625" customWidth="1" outlineLevel="1"/>
    <col min="7" max="7" width="10.28515625" bestFit="1" customWidth="1"/>
    <col min="8" max="8" width="8.7109375" customWidth="1"/>
    <col min="9" max="9" width="10.7109375" customWidth="1"/>
    <col min="10" max="10" width="2.28515625" customWidth="1"/>
    <col min="11" max="11" width="9.7109375" bestFit="1" customWidth="1"/>
    <col min="12" max="12" width="9.85546875" customWidth="1"/>
    <col min="13" max="13" width="9.85546875" style="106" customWidth="1"/>
    <col min="14" max="14" width="12.28515625" style="106" customWidth="1"/>
    <col min="15" max="15" width="10.42578125" style="106" customWidth="1"/>
    <col min="16" max="16" width="12.140625" style="106" customWidth="1"/>
    <col min="17" max="17" width="9.7109375" style="106" customWidth="1"/>
    <col min="18" max="18" width="9" style="106" customWidth="1"/>
    <col min="19" max="19" width="9.7109375" style="106" customWidth="1"/>
    <col min="20" max="22" width="9" style="106" customWidth="1"/>
    <col min="23" max="23" width="8.85546875" style="106" customWidth="1"/>
    <col min="24" max="24" width="8.85546875" customWidth="1"/>
    <col min="25" max="25" width="9.85546875" customWidth="1"/>
    <col min="26" max="35" width="8.85546875" hidden="1" customWidth="1" outlineLevel="1"/>
    <col min="36" max="36" width="8.85546875" customWidth="1" collapsed="1"/>
    <col min="37" max="37" width="8.85546875" style="217"/>
    <col min="38" max="38" width="41.42578125" customWidth="1"/>
    <col min="39" max="46" width="10.7109375" customWidth="1"/>
  </cols>
  <sheetData>
    <row r="1" spans="2:33" x14ac:dyDescent="0.25">
      <c r="N1" s="368" t="s">
        <v>98</v>
      </c>
      <c r="O1"/>
    </row>
    <row r="2" spans="2:33" x14ac:dyDescent="0.25">
      <c r="B2" s="22" t="str">
        <f>STN_1&amp;" Volumes &amp; Unit Rates"</f>
        <v>KLO Volumes &amp; Unit Rates</v>
      </c>
    </row>
    <row r="3" spans="2:33" x14ac:dyDescent="0.25">
      <c r="B3" s="21" t="str">
        <f>STN_1</f>
        <v>KLO</v>
      </c>
      <c r="G3" s="380" t="s">
        <v>19</v>
      </c>
      <c r="H3" s="381"/>
      <c r="I3" s="382"/>
      <c r="K3" s="380" t="s">
        <v>262</v>
      </c>
      <c r="L3" s="381"/>
      <c r="M3" s="381"/>
      <c r="N3" s="381"/>
      <c r="O3" s="381"/>
      <c r="P3" s="382"/>
      <c r="R3" s="380" t="s">
        <v>263</v>
      </c>
      <c r="S3" s="381"/>
      <c r="T3" s="381"/>
      <c r="U3" s="381"/>
      <c r="V3" s="381"/>
      <c r="W3" s="381"/>
      <c r="X3" s="382"/>
    </row>
    <row r="4" spans="2:33" ht="45" customHeight="1" x14ac:dyDescent="0.25">
      <c r="C4" s="259"/>
      <c r="D4" t="s">
        <v>5</v>
      </c>
      <c r="E4" t="s">
        <v>18</v>
      </c>
      <c r="G4" s="107" t="s">
        <v>264</v>
      </c>
      <c r="H4" s="108" t="s">
        <v>265</v>
      </c>
      <c r="I4" s="109" t="s">
        <v>266</v>
      </c>
      <c r="K4" s="109" t="s">
        <v>19</v>
      </c>
      <c r="L4" s="109" t="s">
        <v>20</v>
      </c>
      <c r="M4" s="107" t="s">
        <v>21</v>
      </c>
      <c r="N4" s="107" t="s">
        <v>22</v>
      </c>
      <c r="O4" s="110" t="s">
        <v>23</v>
      </c>
      <c r="P4" s="110" t="s">
        <v>24</v>
      </c>
      <c r="Q4" s="111" t="s">
        <v>267</v>
      </c>
      <c r="R4" s="112" t="s">
        <v>268</v>
      </c>
      <c r="S4" s="112" t="s">
        <v>76</v>
      </c>
      <c r="T4" s="112" t="s">
        <v>77</v>
      </c>
      <c r="U4" s="112" t="s">
        <v>78</v>
      </c>
      <c r="V4" s="112" t="s">
        <v>269</v>
      </c>
      <c r="W4" s="112" t="s">
        <v>79</v>
      </c>
      <c r="X4" s="113" t="s">
        <v>270</v>
      </c>
      <c r="Y4" s="113" t="s">
        <v>271</v>
      </c>
    </row>
    <row r="5" spans="2:33" x14ac:dyDescent="0.25">
      <c r="B5" s="114" t="s">
        <v>272</v>
      </c>
      <c r="C5" s="260"/>
      <c r="D5" s="115"/>
      <c r="E5" s="115"/>
      <c r="F5" s="115"/>
      <c r="G5" s="116"/>
      <c r="H5" s="108"/>
      <c r="I5" s="109"/>
      <c r="J5" s="115"/>
      <c r="K5" s="109"/>
      <c r="L5" s="109"/>
      <c r="M5" s="110"/>
      <c r="N5" s="107"/>
      <c r="O5" s="110"/>
      <c r="P5" s="110"/>
      <c r="R5" s="287">
        <f>Lab_Rates!$C$6*Escalators!C7*(1+Escalators!C17)*Escalators!$G$32</f>
        <v>162.48739067582716</v>
      </c>
      <c r="S5" s="287">
        <f>Lab_Rates!$C$7*Escalators!C7*(1+Escalators!C17)*Escalators!$G$32</f>
        <v>151.79743076294375</v>
      </c>
      <c r="T5" s="287">
        <f>Lab_Rates!$C$8*Escalators!C7*(1+Escalators!C17)*Escalators!$G$32</f>
        <v>176.38433856257552</v>
      </c>
      <c r="U5" s="287">
        <f>Lab_Rates!$C$9*Escalators!C7*(1+Escalators!C17)*Escalators!$G$32</f>
        <v>229.83413812699234</v>
      </c>
      <c r="V5" s="287">
        <f>Lab_Rates!$C$6*Escalators!C7*(1+Escalators!C17)*Escalators!$G$32</f>
        <v>162.48739067582716</v>
      </c>
      <c r="W5" s="287">
        <f>Lab_Rates!$C$10*Escalators!C7*(1+Escalators!C17)*Escalators!$G$32</f>
        <v>162.48739067582716</v>
      </c>
      <c r="X5" s="287">
        <f>Lab_Rates!$C$5*Escalators!C7*(1+Escalators!C17)*Escalators!$G$32</f>
        <v>133.62449891104205</v>
      </c>
    </row>
    <row r="6" spans="2:33" x14ac:dyDescent="0.25">
      <c r="B6" s="117"/>
      <c r="G6" s="118"/>
      <c r="H6" s="119"/>
      <c r="I6" s="120"/>
      <c r="K6" s="118"/>
      <c r="L6" s="118"/>
      <c r="M6" s="121"/>
      <c r="N6" s="122"/>
      <c r="O6" s="121"/>
      <c r="P6" s="123"/>
      <c r="R6" s="124"/>
      <c r="S6" s="124"/>
      <c r="T6" s="124"/>
      <c r="U6" s="124"/>
      <c r="V6" s="124"/>
      <c r="W6" s="124"/>
      <c r="X6" s="124"/>
    </row>
    <row r="7" spans="2:33" x14ac:dyDescent="0.25">
      <c r="B7" s="82" t="s">
        <v>304</v>
      </c>
      <c r="D7" t="s">
        <v>1</v>
      </c>
      <c r="E7" t="s">
        <v>1</v>
      </c>
      <c r="G7" s="125"/>
      <c r="H7" s="126"/>
      <c r="I7" s="127"/>
      <c r="K7" s="128"/>
      <c r="L7" s="286">
        <f>SUMPRODUCT(R$5:X$5,R7:X7)/Thousands</f>
        <v>0</v>
      </c>
      <c r="M7" s="129">
        <v>3300</v>
      </c>
      <c r="N7" s="129"/>
      <c r="O7" s="125"/>
      <c r="P7" s="231">
        <f t="shared" ref="P7" si="0">SUM(K7:O7)</f>
        <v>3300</v>
      </c>
      <c r="Q7" s="218"/>
      <c r="R7" s="131">
        <v>0</v>
      </c>
      <c r="S7" s="132"/>
      <c r="T7" s="132"/>
      <c r="U7" s="132"/>
      <c r="V7" s="132"/>
      <c r="W7" s="132"/>
      <c r="X7" s="132"/>
    </row>
    <row r="8" spans="2:33" x14ac:dyDescent="0.25">
      <c r="B8" s="133"/>
      <c r="C8" s="261"/>
      <c r="D8" s="44"/>
      <c r="E8" s="44"/>
      <c r="F8" s="44"/>
      <c r="G8" s="134"/>
      <c r="H8" s="135"/>
      <c r="I8" s="136"/>
      <c r="K8" s="137"/>
      <c r="L8" s="137"/>
      <c r="M8" s="134"/>
      <c r="N8" s="138"/>
      <c r="O8" s="138"/>
      <c r="P8" s="139"/>
      <c r="Q8" s="130"/>
      <c r="R8" s="124"/>
      <c r="S8" s="124"/>
      <c r="T8" s="124"/>
      <c r="U8" s="124"/>
      <c r="V8" s="124"/>
      <c r="W8" s="124"/>
      <c r="X8" s="124"/>
    </row>
    <row r="9" spans="2:33" x14ac:dyDescent="0.25">
      <c r="B9" s="140" t="s">
        <v>273</v>
      </c>
      <c r="C9" s="260"/>
      <c r="D9" s="115"/>
      <c r="E9" s="115"/>
      <c r="F9" s="115"/>
      <c r="G9" s="141"/>
      <c r="H9" s="108"/>
      <c r="I9" s="109"/>
      <c r="K9" s="142"/>
      <c r="L9" s="142"/>
      <c r="M9" s="141"/>
      <c r="N9" s="143"/>
      <c r="O9" s="143"/>
      <c r="P9" s="144"/>
      <c r="R9" s="124"/>
      <c r="S9" s="124"/>
      <c r="T9" s="124"/>
      <c r="U9" s="124"/>
      <c r="V9" s="124"/>
      <c r="W9" s="124"/>
      <c r="X9" s="124"/>
    </row>
    <row r="10" spans="2:33" x14ac:dyDescent="0.25">
      <c r="B10" s="82"/>
      <c r="C10" s="21" t="s">
        <v>274</v>
      </c>
      <c r="D10" t="s">
        <v>1</v>
      </c>
      <c r="E10" t="s">
        <v>1</v>
      </c>
      <c r="G10" s="125"/>
      <c r="H10" s="126"/>
      <c r="I10" s="127"/>
      <c r="K10" s="145"/>
      <c r="L10" s="169">
        <f>SUMPRODUCT(R$5:X$5,R10:X10)/Thousands</f>
        <v>95.700797124097036</v>
      </c>
      <c r="M10" s="147"/>
      <c r="N10" s="285">
        <v>0</v>
      </c>
      <c r="O10" s="148"/>
      <c r="P10" s="231">
        <f>SUM(K10:O10)</f>
        <v>95.700797124097036</v>
      </c>
      <c r="Q10" s="250"/>
      <c r="R10" s="131">
        <v>253</v>
      </c>
      <c r="S10" s="131">
        <v>234</v>
      </c>
      <c r="T10" s="131">
        <v>56</v>
      </c>
      <c r="U10" s="131">
        <v>40</v>
      </c>
      <c r="V10" s="131"/>
      <c r="W10" s="131"/>
      <c r="X10" s="131"/>
      <c r="Y10" s="241">
        <f>SUM(R10:X10)</f>
        <v>583</v>
      </c>
      <c r="AA10" s="6"/>
      <c r="AB10" s="6"/>
      <c r="AC10" s="6"/>
      <c r="AD10" s="6"/>
      <c r="AE10" s="6"/>
      <c r="AF10" s="6"/>
      <c r="AG10" s="6"/>
    </row>
    <row r="11" spans="2:33" x14ac:dyDescent="0.25">
      <c r="B11" s="82"/>
      <c r="C11" s="21" t="s">
        <v>275</v>
      </c>
      <c r="D11" t="s">
        <v>1</v>
      </c>
      <c r="E11" t="s">
        <v>1</v>
      </c>
      <c r="G11" s="125"/>
      <c r="H11" s="126"/>
      <c r="I11" s="127"/>
      <c r="K11" s="145"/>
      <c r="L11" s="169">
        <f>SUMPRODUCT(R$5:X$5,R11:X11)/Thousands</f>
        <v>2410.5699254153292</v>
      </c>
      <c r="M11" s="147"/>
      <c r="N11" s="129"/>
      <c r="O11" s="148"/>
      <c r="P11" s="231">
        <f>SUM(K11:O11)</f>
        <v>2410.5699254153292</v>
      </c>
      <c r="Q11" s="218"/>
      <c r="R11" s="131">
        <v>1080</v>
      </c>
      <c r="S11" s="131"/>
      <c r="T11" s="131">
        <v>6912</v>
      </c>
      <c r="U11" s="131">
        <v>420</v>
      </c>
      <c r="V11" s="131">
        <v>2481.75</v>
      </c>
      <c r="W11" s="131">
        <v>3072</v>
      </c>
      <c r="X11" s="131">
        <v>127</v>
      </c>
      <c r="Y11" s="241">
        <f t="shared" ref="Y11:Y13" si="1">SUM(R11:X11)</f>
        <v>14092.75</v>
      </c>
      <c r="AA11" s="6"/>
      <c r="AB11" s="6"/>
      <c r="AC11" s="6"/>
      <c r="AD11" s="6"/>
      <c r="AE11" s="6"/>
      <c r="AF11" s="6"/>
      <c r="AG11" s="6"/>
    </row>
    <row r="12" spans="2:33" x14ac:dyDescent="0.25">
      <c r="B12" s="82"/>
      <c r="C12" s="21" t="s">
        <v>276</v>
      </c>
      <c r="D12" t="s">
        <v>1</v>
      </c>
      <c r="E12" t="s">
        <v>1</v>
      </c>
      <c r="G12" s="125"/>
      <c r="H12" s="126"/>
      <c r="I12" s="127"/>
      <c r="K12" s="145"/>
      <c r="L12" s="169">
        <f>SUMPRODUCT(R$5:X$5,R12:X12)/Thousands</f>
        <v>30.376590088449372</v>
      </c>
      <c r="M12" s="147"/>
      <c r="N12" s="285">
        <v>0</v>
      </c>
      <c r="O12" s="148"/>
      <c r="P12" s="231">
        <f>SUM(K12:O12)</f>
        <v>30.376590088449372</v>
      </c>
      <c r="Q12" s="250"/>
      <c r="R12" s="131">
        <v>48</v>
      </c>
      <c r="S12" s="131"/>
      <c r="T12" s="131">
        <v>128</v>
      </c>
      <c r="U12" s="131"/>
      <c r="V12" s="131"/>
      <c r="W12" s="131"/>
      <c r="X12" s="131"/>
      <c r="Y12" s="241">
        <f t="shared" si="1"/>
        <v>176</v>
      </c>
      <c r="AA12" s="6"/>
      <c r="AB12" s="6"/>
      <c r="AC12" s="6"/>
      <c r="AD12" s="6"/>
      <c r="AE12" s="6"/>
      <c r="AF12" s="6"/>
      <c r="AG12" s="6"/>
    </row>
    <row r="13" spans="2:33" x14ac:dyDescent="0.25">
      <c r="B13" s="82"/>
      <c r="C13" s="21" t="s">
        <v>277</v>
      </c>
      <c r="D13" t="s">
        <v>1</v>
      </c>
      <c r="E13" t="s">
        <v>1</v>
      </c>
      <c r="G13" s="125"/>
      <c r="H13" s="126"/>
      <c r="I13" s="127"/>
      <c r="K13" s="145"/>
      <c r="L13" s="169">
        <f>SUMPRODUCT(R$5:X$5,R13:X13)/Thousands</f>
        <v>0</v>
      </c>
      <c r="M13" s="147"/>
      <c r="N13" s="285">
        <v>0</v>
      </c>
      <c r="O13" s="148"/>
      <c r="P13" s="231">
        <f>SUM(K13:O13)</f>
        <v>0</v>
      </c>
      <c r="Q13" s="218"/>
      <c r="R13" s="131"/>
      <c r="S13" s="131"/>
      <c r="T13" s="131"/>
      <c r="U13" s="131"/>
      <c r="V13" s="131"/>
      <c r="W13" s="131"/>
      <c r="X13" s="131"/>
      <c r="Y13" s="241">
        <f t="shared" si="1"/>
        <v>0</v>
      </c>
      <c r="AA13" s="6"/>
      <c r="AB13" s="6"/>
      <c r="AC13" s="6"/>
      <c r="AD13" s="6"/>
      <c r="AE13" s="6"/>
      <c r="AF13" s="6"/>
      <c r="AG13" s="6"/>
    </row>
    <row r="14" spans="2:33" x14ac:dyDescent="0.25">
      <c r="B14" s="133"/>
      <c r="C14" s="261"/>
      <c r="D14" s="44"/>
      <c r="E14" s="44"/>
      <c r="F14" s="44"/>
      <c r="G14" s="137"/>
      <c r="H14" s="135"/>
      <c r="I14" s="136"/>
      <c r="K14" s="151"/>
      <c r="L14" s="152"/>
      <c r="M14" s="152"/>
      <c r="N14" s="153"/>
      <c r="O14" s="152"/>
      <c r="P14" s="154"/>
      <c r="R14" s="124"/>
      <c r="S14" s="124"/>
      <c r="T14" s="124"/>
      <c r="U14" s="124"/>
      <c r="V14" s="124"/>
      <c r="W14" s="124"/>
      <c r="X14" s="124"/>
    </row>
    <row r="15" spans="2:33" x14ac:dyDescent="0.25">
      <c r="B15" s="140" t="s">
        <v>430</v>
      </c>
      <c r="C15" s="260"/>
      <c r="D15" s="115"/>
      <c r="E15" s="115"/>
      <c r="F15" s="115"/>
      <c r="G15" s="155"/>
      <c r="H15" s="114"/>
      <c r="I15" s="156"/>
      <c r="K15" s="157"/>
      <c r="L15" s="157"/>
      <c r="M15" s="158"/>
      <c r="N15" s="158"/>
      <c r="O15" s="158"/>
      <c r="P15" s="159"/>
      <c r="Q15" s="160"/>
      <c r="R15" s="161"/>
      <c r="S15" s="124"/>
      <c r="T15" s="124"/>
      <c r="U15" s="124"/>
      <c r="V15" s="124"/>
      <c r="W15" s="124"/>
      <c r="X15" s="124"/>
      <c r="AA15" s="5"/>
      <c r="AB15" s="5"/>
      <c r="AC15" s="5"/>
      <c r="AD15" s="5"/>
      <c r="AE15" s="5"/>
      <c r="AF15" s="5"/>
      <c r="AG15" s="5"/>
    </row>
    <row r="16" spans="2:33" x14ac:dyDescent="0.25">
      <c r="B16" s="117" t="s">
        <v>100</v>
      </c>
      <c r="G16" s="163"/>
      <c r="H16" s="82"/>
      <c r="I16" s="164"/>
      <c r="J16" s="162"/>
      <c r="K16" s="146"/>
      <c r="L16" s="146"/>
      <c r="M16" s="165"/>
      <c r="N16" s="165"/>
      <c r="O16" s="165"/>
      <c r="P16" s="166"/>
      <c r="R16" s="124"/>
      <c r="S16" s="124"/>
      <c r="T16" s="124"/>
      <c r="U16" s="124"/>
      <c r="V16" s="124"/>
      <c r="W16" s="124"/>
      <c r="X16" s="124"/>
      <c r="AA16" s="5"/>
      <c r="AB16" s="5"/>
      <c r="AC16" s="5"/>
      <c r="AD16" s="5"/>
      <c r="AE16" s="5"/>
      <c r="AF16" s="5"/>
      <c r="AG16" s="5"/>
    </row>
    <row r="17" spans="2:48" x14ac:dyDescent="0.25">
      <c r="B17" s="82"/>
      <c r="C17" s="21" t="s">
        <v>314</v>
      </c>
      <c r="D17" s="21" t="str">
        <f>INDEX(Unit_Rates!$C$7:$K$116,MATCH($C17,Unit_Rates!$C$7:$C$116,0),5)</f>
        <v>Subtransmission</v>
      </c>
      <c r="E17" s="21" t="str">
        <f>INDEX(Unit_Rates!$C$7:$K$116,MATCH($C17,Unit_Rates!$C$7:$C$116,0),6)</f>
        <v>Augmentation</v>
      </c>
      <c r="F17" s="21" t="str">
        <f>D17&amp;E17</f>
        <v>SubtransmissionAugmentation</v>
      </c>
      <c r="G17" s="167">
        <f>INDEX(Unit_Rates!$C$7:$K$116,MATCH($C17,Unit_Rates!$C$7:$C$116,0),7)</f>
        <v>185.47500200000002</v>
      </c>
      <c r="H17" s="168"/>
      <c r="I17" s="120" t="s">
        <v>278</v>
      </c>
      <c r="J17" s="162"/>
      <c r="K17" s="169">
        <f t="shared" ref="K17:K26" si="2">G17*$H17</f>
        <v>0</v>
      </c>
      <c r="L17" s="170">
        <f t="shared" ref="L17:L54" si="3">SUMPRODUCT(R$5:X$5,R17:X17)/Thousands</f>
        <v>0</v>
      </c>
      <c r="M17" s="171"/>
      <c r="N17" s="363"/>
      <c r="O17" s="363"/>
      <c r="P17" s="364"/>
      <c r="Q17" s="250">
        <f>P17-H17*VLOOKUP(C17,Unit_Rates!$C$7:$E$116,3,FALSE)</f>
        <v>0</v>
      </c>
      <c r="R17" s="131">
        <v>0</v>
      </c>
      <c r="S17" s="131">
        <v>0</v>
      </c>
      <c r="T17" s="131">
        <v>0</v>
      </c>
      <c r="U17" s="131">
        <v>0</v>
      </c>
      <c r="V17" s="131">
        <v>0</v>
      </c>
      <c r="W17" s="131">
        <v>0</v>
      </c>
      <c r="X17" s="131">
        <v>0</v>
      </c>
      <c r="Y17" s="241">
        <f t="shared" ref="Y17:Y54" si="4">SUM(R17:X17)</f>
        <v>0</v>
      </c>
      <c r="AA17" s="5"/>
      <c r="AB17" s="5"/>
      <c r="AC17" s="5"/>
      <c r="AD17" s="5"/>
      <c r="AE17" s="5"/>
      <c r="AF17" s="5"/>
      <c r="AG17" s="5"/>
      <c r="AL17" s="217"/>
      <c r="AM17" s="217"/>
      <c r="AN17" s="217"/>
      <c r="AO17" s="217"/>
      <c r="AP17" s="217"/>
      <c r="AQ17" s="217"/>
      <c r="AR17" s="217"/>
      <c r="AS17" s="217"/>
      <c r="AT17" s="217"/>
    </row>
    <row r="18" spans="2:48" x14ac:dyDescent="0.25">
      <c r="B18" s="82"/>
      <c r="C18" s="21" t="s">
        <v>315</v>
      </c>
      <c r="D18" s="21" t="str">
        <f>INDEX(Unit_Rates!$C$7:$K$116,MATCH($C18,Unit_Rates!$C$7:$C$116,0),5)</f>
        <v>Subtransmission</v>
      </c>
      <c r="E18" s="21" t="str">
        <f>INDEX(Unit_Rates!$C$7:$K$116,MATCH($C18,Unit_Rates!$C$7:$C$116,0),6)</f>
        <v>Augmentation</v>
      </c>
      <c r="F18" s="21" t="str">
        <f t="shared" ref="F18:F54" si="5">D18&amp;E18</f>
        <v>SubtransmissionAugmentation</v>
      </c>
      <c r="G18" s="167">
        <f>INDEX(Unit_Rates!$C$7:$K$116,MATCH($C18,Unit_Rates!$C$7:$C$116,0),7)</f>
        <v>74.154499800000011</v>
      </c>
      <c r="H18" s="168"/>
      <c r="I18" s="120" t="s">
        <v>278</v>
      </c>
      <c r="J18" s="162"/>
      <c r="K18" s="169">
        <f t="shared" si="2"/>
        <v>0</v>
      </c>
      <c r="L18" s="170">
        <f t="shared" si="3"/>
        <v>0</v>
      </c>
      <c r="M18" s="171"/>
      <c r="N18" s="363"/>
      <c r="O18" s="363"/>
      <c r="P18" s="364"/>
      <c r="Q18" s="250">
        <f>P18-H18*VLOOKUP(C18,Unit_Rates!$C$7:$E$116,3,FALSE)</f>
        <v>0</v>
      </c>
      <c r="R18" s="131">
        <v>0</v>
      </c>
      <c r="S18" s="131">
        <v>0</v>
      </c>
      <c r="T18" s="131">
        <v>0</v>
      </c>
      <c r="U18" s="131">
        <v>0</v>
      </c>
      <c r="V18" s="131">
        <v>0</v>
      </c>
      <c r="W18" s="131">
        <v>0</v>
      </c>
      <c r="X18" s="131">
        <v>0</v>
      </c>
      <c r="Y18" s="241">
        <f t="shared" si="4"/>
        <v>0</v>
      </c>
      <c r="AA18" s="5"/>
      <c r="AB18" s="5"/>
      <c r="AC18" s="5"/>
      <c r="AD18" s="5"/>
      <c r="AE18" s="5"/>
      <c r="AF18" s="5"/>
      <c r="AG18" s="5"/>
      <c r="AL18" s="217"/>
      <c r="AM18" s="217"/>
      <c r="AN18" s="217"/>
      <c r="AO18" s="217"/>
      <c r="AP18" s="217"/>
      <c r="AQ18" s="217"/>
      <c r="AR18" s="217"/>
      <c r="AS18" s="217"/>
      <c r="AT18" s="217"/>
    </row>
    <row r="19" spans="2:48" x14ac:dyDescent="0.25">
      <c r="B19" s="82"/>
      <c r="C19" s="21" t="s">
        <v>316</v>
      </c>
      <c r="D19" s="21" t="str">
        <f>INDEX(Unit_Rates!$C$7:$K$116,MATCH($C19,Unit_Rates!$C$7:$C$116,0),5)</f>
        <v>Subtransmission</v>
      </c>
      <c r="E19" s="21" t="str">
        <f>INDEX(Unit_Rates!$C$7:$K$116,MATCH($C19,Unit_Rates!$C$7:$C$116,0),6)</f>
        <v>Augmentation</v>
      </c>
      <c r="F19" s="21" t="str">
        <f t="shared" si="5"/>
        <v>SubtransmissionAugmentation</v>
      </c>
      <c r="G19" s="167">
        <f>INDEX(Unit_Rates!$C$7:$K$116,MATCH($C19,Unit_Rates!$C$7:$C$116,0),7)</f>
        <v>37.493999250000002</v>
      </c>
      <c r="H19" s="168"/>
      <c r="I19" s="120" t="s">
        <v>278</v>
      </c>
      <c r="J19" s="162"/>
      <c r="K19" s="169">
        <f t="shared" si="2"/>
        <v>0</v>
      </c>
      <c r="L19" s="170">
        <f t="shared" si="3"/>
        <v>0</v>
      </c>
      <c r="M19" s="171"/>
      <c r="N19" s="363"/>
      <c r="O19" s="363"/>
      <c r="P19" s="364"/>
      <c r="Q19" s="250">
        <f>P19-H19*VLOOKUP(C19,Unit_Rates!$C$7:$E$116,3,FALSE)</f>
        <v>0</v>
      </c>
      <c r="R19" s="131">
        <v>0</v>
      </c>
      <c r="S19" s="131">
        <v>0</v>
      </c>
      <c r="T19" s="131">
        <v>0</v>
      </c>
      <c r="U19" s="131">
        <v>0</v>
      </c>
      <c r="V19" s="131">
        <v>0</v>
      </c>
      <c r="W19" s="131">
        <v>0</v>
      </c>
      <c r="X19" s="131">
        <v>0</v>
      </c>
      <c r="Y19" s="241">
        <f t="shared" si="4"/>
        <v>0</v>
      </c>
      <c r="AA19" s="5"/>
      <c r="AB19" s="5"/>
      <c r="AC19" s="5"/>
      <c r="AD19" s="5"/>
      <c r="AE19" s="5"/>
      <c r="AF19" s="5"/>
      <c r="AG19" s="5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</row>
    <row r="20" spans="2:48" x14ac:dyDescent="0.25">
      <c r="B20" s="82"/>
      <c r="C20" s="21" t="s">
        <v>301</v>
      </c>
      <c r="D20" s="21" t="str">
        <f>INDEX(Unit_Rates!$C$7:$K$116,MATCH($C20,Unit_Rates!$C$7:$C$116,0),5)</f>
        <v>Subtransmission</v>
      </c>
      <c r="E20" s="21" t="str">
        <f>INDEX(Unit_Rates!$C$7:$K$116,MATCH($C20,Unit_Rates!$C$7:$C$116,0),6)</f>
        <v>Augmentation</v>
      </c>
      <c r="F20" s="21" t="str">
        <f t="shared" si="5"/>
        <v>SubtransmissionAugmentation</v>
      </c>
      <c r="G20" s="167">
        <f>INDEX(Unit_Rates!$C$7:$K$116,MATCH($C20,Unit_Rates!$C$7:$C$116,0),7)</f>
        <v>787.07449999999994</v>
      </c>
      <c r="H20" s="168"/>
      <c r="I20" s="120" t="s">
        <v>278</v>
      </c>
      <c r="J20" s="162"/>
      <c r="K20" s="169">
        <f t="shared" si="2"/>
        <v>0</v>
      </c>
      <c r="L20" s="170">
        <f t="shared" si="3"/>
        <v>0</v>
      </c>
      <c r="M20" s="171"/>
      <c r="N20" s="363"/>
      <c r="O20" s="363"/>
      <c r="P20" s="364"/>
      <c r="Q20" s="250">
        <f>P20-H20*VLOOKUP(C20,Unit_Rates!$C$7:$E$116,3,FALSE)</f>
        <v>0</v>
      </c>
      <c r="R20" s="131">
        <v>0</v>
      </c>
      <c r="S20" s="131">
        <v>0</v>
      </c>
      <c r="T20" s="131">
        <v>0</v>
      </c>
      <c r="U20" s="131">
        <v>0</v>
      </c>
      <c r="V20" s="131">
        <v>0</v>
      </c>
      <c r="W20" s="131">
        <v>0</v>
      </c>
      <c r="X20" s="131">
        <v>0</v>
      </c>
      <c r="Y20" s="241">
        <f t="shared" si="4"/>
        <v>0</v>
      </c>
      <c r="AA20" s="5"/>
      <c r="AB20" s="5"/>
      <c r="AC20" s="5"/>
      <c r="AD20" s="5"/>
      <c r="AE20" s="5"/>
      <c r="AF20" s="5"/>
      <c r="AG20" s="5"/>
      <c r="AL20" s="333"/>
      <c r="AM20" s="217"/>
      <c r="AN20" s="217"/>
      <c r="AO20" s="217"/>
      <c r="AP20" s="217"/>
      <c r="AQ20" s="217"/>
      <c r="AR20" s="217"/>
      <c r="AS20" s="217"/>
      <c r="AT20" s="217"/>
      <c r="AU20" s="283"/>
      <c r="AV20" s="283"/>
    </row>
    <row r="21" spans="2:48" x14ac:dyDescent="0.25">
      <c r="B21" s="82"/>
      <c r="C21" s="21" t="s">
        <v>313</v>
      </c>
      <c r="D21" s="21" t="str">
        <f>INDEX(Unit_Rates!$C$7:$K$116,MATCH($C21,Unit_Rates!$C$7:$C$116,0),5)</f>
        <v>Subtransmission</v>
      </c>
      <c r="E21" s="21" t="str">
        <f>INDEX(Unit_Rates!$C$7:$K$116,MATCH($C21,Unit_Rates!$C$7:$C$116,0),6)</f>
        <v>Augmentation</v>
      </c>
      <c r="F21" s="21" t="str">
        <f t="shared" si="5"/>
        <v>SubtransmissionAugmentation</v>
      </c>
      <c r="G21" s="167">
        <f>INDEX(Unit_Rates!$C$7:$K$116,MATCH($C21,Unit_Rates!$C$7:$C$116,0),7)</f>
        <v>41.255909799999998</v>
      </c>
      <c r="H21" s="168"/>
      <c r="I21" s="120" t="s">
        <v>278</v>
      </c>
      <c r="J21" s="162"/>
      <c r="K21" s="169">
        <f t="shared" si="2"/>
        <v>0</v>
      </c>
      <c r="L21" s="170">
        <f t="shared" si="3"/>
        <v>0</v>
      </c>
      <c r="M21" s="171"/>
      <c r="N21" s="363"/>
      <c r="O21" s="363"/>
      <c r="P21" s="364"/>
      <c r="Q21" s="250">
        <f>P21-H21*VLOOKUP(C21,Unit_Rates!$C$7:$E$116,3,FALSE)</f>
        <v>0</v>
      </c>
      <c r="R21" s="131">
        <v>0</v>
      </c>
      <c r="S21" s="131">
        <v>0</v>
      </c>
      <c r="T21" s="131">
        <v>0</v>
      </c>
      <c r="U21" s="131">
        <v>0</v>
      </c>
      <c r="V21" s="131">
        <v>0</v>
      </c>
      <c r="W21" s="131">
        <v>0</v>
      </c>
      <c r="X21" s="131">
        <v>0</v>
      </c>
      <c r="Y21" s="241">
        <f t="shared" si="4"/>
        <v>0</v>
      </c>
      <c r="AA21" s="5"/>
      <c r="AB21" s="5"/>
      <c r="AC21" s="5"/>
      <c r="AD21" s="5"/>
      <c r="AE21" s="5"/>
      <c r="AF21" s="5"/>
      <c r="AG21" s="5"/>
      <c r="AL21" s="217"/>
      <c r="AM21" s="217"/>
      <c r="AN21" s="217"/>
      <c r="AO21" s="217"/>
      <c r="AP21" s="217"/>
      <c r="AQ21" s="217"/>
      <c r="AR21" s="217"/>
      <c r="AS21" s="217"/>
      <c r="AT21" s="217"/>
      <c r="AU21" s="283"/>
      <c r="AV21" s="283"/>
    </row>
    <row r="22" spans="2:48" x14ac:dyDescent="0.25">
      <c r="B22" s="82"/>
      <c r="C22" s="21" t="s">
        <v>303</v>
      </c>
      <c r="D22" s="21" t="str">
        <f>INDEX(Unit_Rates!$C$7:$K$116,MATCH($C22,Unit_Rates!$C$7:$C$116,0),5)</f>
        <v>Subtransmission</v>
      </c>
      <c r="E22" s="21" t="str">
        <f>INDEX(Unit_Rates!$C$7:$K$116,MATCH($C22,Unit_Rates!$C$7:$C$116,0),6)</f>
        <v>Augmentation</v>
      </c>
      <c r="F22" s="21" t="str">
        <f t="shared" si="5"/>
        <v>SubtransmissionAugmentation</v>
      </c>
      <c r="G22" s="167">
        <f>INDEX(Unit_Rates!$C$7:$K$116,MATCH($C22,Unit_Rates!$C$7:$C$116,0),7)</f>
        <v>106.81319599999999</v>
      </c>
      <c r="H22" s="168"/>
      <c r="I22" s="120" t="s">
        <v>278</v>
      </c>
      <c r="J22" s="162"/>
      <c r="K22" s="169">
        <f t="shared" si="2"/>
        <v>0</v>
      </c>
      <c r="L22" s="170">
        <f t="shared" si="3"/>
        <v>0</v>
      </c>
      <c r="M22" s="171"/>
      <c r="N22" s="363"/>
      <c r="O22" s="363"/>
      <c r="P22" s="364"/>
      <c r="Q22" s="250">
        <f>P22-H22*VLOOKUP(C22,Unit_Rates!$C$7:$E$116,3,FALSE)</f>
        <v>0</v>
      </c>
      <c r="R22" s="131">
        <v>0</v>
      </c>
      <c r="S22" s="131">
        <v>0</v>
      </c>
      <c r="T22" s="131">
        <v>0</v>
      </c>
      <c r="U22" s="131">
        <v>0</v>
      </c>
      <c r="V22" s="131">
        <v>0</v>
      </c>
      <c r="W22" s="131">
        <v>0</v>
      </c>
      <c r="X22" s="131">
        <v>0</v>
      </c>
      <c r="Y22" s="241">
        <f t="shared" si="4"/>
        <v>0</v>
      </c>
      <c r="AA22" s="5"/>
      <c r="AB22" s="5"/>
      <c r="AC22" s="5"/>
      <c r="AD22" s="5"/>
      <c r="AE22" s="5"/>
      <c r="AF22" s="5"/>
      <c r="AG22" s="5"/>
      <c r="AK22" s="283"/>
      <c r="AL22" s="283"/>
      <c r="AM22" s="283"/>
      <c r="AN22" s="283"/>
      <c r="AO22" s="289"/>
      <c r="AP22" s="289"/>
      <c r="AQ22" s="289"/>
      <c r="AR22" s="289"/>
      <c r="AS22" s="289"/>
      <c r="AT22" s="289"/>
      <c r="AU22" s="283"/>
      <c r="AV22" s="283"/>
    </row>
    <row r="23" spans="2:48" x14ac:dyDescent="0.25">
      <c r="B23" s="82"/>
      <c r="C23" s="21" t="s">
        <v>318</v>
      </c>
      <c r="D23" s="21" t="str">
        <f>INDEX(Unit_Rates!$C$7:$K$116,MATCH($C23,Unit_Rates!$C$7:$C$116,0),5)</f>
        <v>Subtransmission</v>
      </c>
      <c r="E23" s="21" t="str">
        <f>INDEX(Unit_Rates!$C$7:$K$116,MATCH($C23,Unit_Rates!$C$7:$C$116,0),6)</f>
        <v>Augmentation</v>
      </c>
      <c r="F23" s="21" t="str">
        <f t="shared" si="5"/>
        <v>SubtransmissionAugmentation</v>
      </c>
      <c r="G23" s="167">
        <f>INDEX(Unit_Rates!$C$7:$K$116,MATCH($C23,Unit_Rates!$C$7:$C$116,0),7)</f>
        <v>58.265687</v>
      </c>
      <c r="H23" s="168"/>
      <c r="I23" s="120" t="s">
        <v>278</v>
      </c>
      <c r="J23" s="162"/>
      <c r="K23" s="169">
        <f t="shared" si="2"/>
        <v>0</v>
      </c>
      <c r="L23" s="170">
        <f t="shared" si="3"/>
        <v>0</v>
      </c>
      <c r="M23" s="171"/>
      <c r="N23" s="363"/>
      <c r="O23" s="363"/>
      <c r="P23" s="364"/>
      <c r="Q23" s="250">
        <f>P23-H23*VLOOKUP(C23,Unit_Rates!$C$7:$E$116,3,FALSE)</f>
        <v>0</v>
      </c>
      <c r="R23" s="131">
        <v>0</v>
      </c>
      <c r="S23" s="131">
        <v>0</v>
      </c>
      <c r="T23" s="131">
        <v>0</v>
      </c>
      <c r="U23" s="131">
        <v>0</v>
      </c>
      <c r="V23" s="131">
        <v>0</v>
      </c>
      <c r="W23" s="131">
        <v>0</v>
      </c>
      <c r="X23" s="131">
        <v>0</v>
      </c>
      <c r="Y23" s="241">
        <f t="shared" si="4"/>
        <v>0</v>
      </c>
      <c r="AK23" s="283"/>
      <c r="AL23" s="283"/>
      <c r="AM23" s="283"/>
      <c r="AN23" s="283"/>
      <c r="AO23" s="289"/>
      <c r="AP23" s="289"/>
      <c r="AQ23" s="289"/>
      <c r="AR23" s="289"/>
      <c r="AS23" s="289"/>
      <c r="AT23" s="289"/>
      <c r="AU23" s="283"/>
      <c r="AV23" s="283"/>
    </row>
    <row r="24" spans="2:48" x14ac:dyDescent="0.25">
      <c r="B24" s="82"/>
      <c r="C24" s="21" t="s">
        <v>369</v>
      </c>
      <c r="D24" s="21" t="str">
        <f>INDEX(Unit_Rates!$C$7:$K$116,MATCH($C24,Unit_Rates!$C$7:$C$116,0),5)</f>
        <v>Subtransmission</v>
      </c>
      <c r="E24" s="21" t="str">
        <f>INDEX(Unit_Rates!$C$7:$K$116,MATCH($C24,Unit_Rates!$C$7:$C$116,0),6)</f>
        <v>Augmentation</v>
      </c>
      <c r="F24" s="21" t="str">
        <f t="shared" ref="F24" si="6">D24&amp;E24</f>
        <v>SubtransmissionAugmentation</v>
      </c>
      <c r="G24" s="167">
        <f>INDEX(Unit_Rates!$C$7:$K$116,MATCH($C24,Unit_Rates!$C$7:$C$116,0),7)</f>
        <v>47.718692238676105</v>
      </c>
      <c r="H24" s="168">
        <v>2</v>
      </c>
      <c r="I24" s="172" t="s">
        <v>278</v>
      </c>
      <c r="J24" s="173"/>
      <c r="K24" s="174">
        <f t="shared" ref="K24" si="7">G24*$H24</f>
        <v>95.437384477352211</v>
      </c>
      <c r="L24" s="174">
        <f t="shared" ref="L24" si="8">SUMPRODUCT(R$5:X$5,R24:X24)/Thousands</f>
        <v>0</v>
      </c>
      <c r="M24" s="175"/>
      <c r="N24" s="363"/>
      <c r="O24" s="363"/>
      <c r="P24" s="366"/>
      <c r="Q24" s="250">
        <f>P24-H24*VLOOKUP(C24,Unit_Rates!$C$7:$E$116,3,FALSE)</f>
        <v>0</v>
      </c>
      <c r="R24" s="131">
        <v>0</v>
      </c>
      <c r="S24" s="131">
        <v>0</v>
      </c>
      <c r="T24" s="131">
        <v>0</v>
      </c>
      <c r="U24" s="131">
        <v>0</v>
      </c>
      <c r="V24" s="131">
        <v>0</v>
      </c>
      <c r="W24" s="131">
        <v>0</v>
      </c>
      <c r="X24" s="131">
        <v>0</v>
      </c>
      <c r="Y24" s="241">
        <f t="shared" ref="Y24" si="9">SUM(R24:X24)</f>
        <v>0</v>
      </c>
      <c r="AA24" s="5"/>
      <c r="AB24" s="5"/>
      <c r="AC24" s="5"/>
      <c r="AD24" s="5"/>
      <c r="AE24" s="5"/>
      <c r="AF24" s="5"/>
      <c r="AG24" s="5"/>
      <c r="AK24" s="283"/>
      <c r="AL24" s="283"/>
      <c r="AM24" s="283"/>
      <c r="AN24" s="283"/>
      <c r="AO24" s="289"/>
      <c r="AP24" s="289"/>
      <c r="AQ24" s="289"/>
      <c r="AR24" s="289"/>
      <c r="AS24" s="289"/>
      <c r="AT24" s="289"/>
      <c r="AU24" s="283"/>
      <c r="AV24" s="283"/>
    </row>
    <row r="25" spans="2:48" x14ac:dyDescent="0.25">
      <c r="B25" s="82"/>
      <c r="C25" s="21" t="s">
        <v>354</v>
      </c>
      <c r="D25" s="21" t="str">
        <f>INDEX(Unit_Rates!$C$7:$K$116,MATCH($C25,Unit_Rates!$C$7:$C$116,0),5)</f>
        <v>Subtransmission</v>
      </c>
      <c r="E25" s="21" t="str">
        <f>INDEX(Unit_Rates!$C$7:$K$116,MATCH($C25,Unit_Rates!$C$7:$C$116,0),6)</f>
        <v>Augmentation</v>
      </c>
      <c r="F25" s="21" t="str">
        <f t="shared" ref="F25" si="10">D25&amp;E25</f>
        <v>SubtransmissionAugmentation</v>
      </c>
      <c r="G25" s="167">
        <f>INDEX(Unit_Rates!$C$7:$K$116,MATCH($C25,Unit_Rates!$C$7:$C$116,0),7)</f>
        <v>169.007993</v>
      </c>
      <c r="H25" s="168"/>
      <c r="I25" s="120" t="s">
        <v>278</v>
      </c>
      <c r="J25" s="162"/>
      <c r="K25" s="169">
        <f t="shared" ref="K25" si="11">G25*$H25</f>
        <v>0</v>
      </c>
      <c r="L25" s="170">
        <f t="shared" ref="L25" si="12">SUMPRODUCT(R$5:X$5,R25:X25)/Thousands</f>
        <v>0</v>
      </c>
      <c r="M25" s="171"/>
      <c r="N25" s="363"/>
      <c r="O25" s="363"/>
      <c r="P25" s="364"/>
      <c r="Q25" s="250">
        <f>P25-H25*VLOOKUP(C25,Unit_Rates!$C$7:$E$116,3,FALSE)</f>
        <v>0</v>
      </c>
      <c r="R25" s="131">
        <v>0</v>
      </c>
      <c r="S25" s="131">
        <v>0</v>
      </c>
      <c r="T25" s="131">
        <v>0</v>
      </c>
      <c r="U25" s="131">
        <v>0</v>
      </c>
      <c r="V25" s="131">
        <v>0</v>
      </c>
      <c r="W25" s="131">
        <v>0</v>
      </c>
      <c r="X25" s="131">
        <v>0</v>
      </c>
      <c r="Y25" s="241">
        <f t="shared" ref="Y25" si="13">SUM(R25:X25)</f>
        <v>0</v>
      </c>
      <c r="AK25" s="283"/>
      <c r="AL25" s="283"/>
      <c r="AM25" s="283"/>
      <c r="AN25" s="283"/>
      <c r="AO25" s="289"/>
      <c r="AP25" s="289"/>
      <c r="AQ25" s="289"/>
      <c r="AR25" s="289"/>
      <c r="AS25" s="289"/>
      <c r="AT25" s="289"/>
      <c r="AU25" s="283"/>
      <c r="AV25" s="283"/>
    </row>
    <row r="26" spans="2:48" x14ac:dyDescent="0.25">
      <c r="B26" s="82"/>
      <c r="C26" s="21" t="s">
        <v>108</v>
      </c>
      <c r="D26" s="21" t="str">
        <f>INDEX(Unit_Rates!$C$7:$K$116,MATCH($C26,Unit_Rates!$C$7:$C$116,0),5)</f>
        <v>Subtransmission</v>
      </c>
      <c r="E26" s="21" t="str">
        <f>INDEX(Unit_Rates!$C$7:$K$116,MATCH($C26,Unit_Rates!$C$7:$C$116,0),6)</f>
        <v>Augmentation</v>
      </c>
      <c r="F26" s="21" t="str">
        <f t="shared" si="5"/>
        <v>SubtransmissionAugmentation</v>
      </c>
      <c r="G26" s="167">
        <f>INDEX(Unit_Rates!$C$7:$K$116,MATCH($C26,Unit_Rates!$C$7:$C$116,0),7)</f>
        <v>72.618999999999986</v>
      </c>
      <c r="H26" s="168"/>
      <c r="I26" s="172" t="s">
        <v>278</v>
      </c>
      <c r="J26" s="173"/>
      <c r="K26" s="174">
        <f t="shared" si="2"/>
        <v>0</v>
      </c>
      <c r="L26" s="174">
        <f t="shared" si="3"/>
        <v>0</v>
      </c>
      <c r="M26" s="175"/>
      <c r="N26" s="363"/>
      <c r="O26" s="363"/>
      <c r="P26" s="366"/>
      <c r="Q26" s="250">
        <f>P26-H26*VLOOKUP(C26,Unit_Rates!$C$7:$E$116,3,FALSE)</f>
        <v>0</v>
      </c>
      <c r="R26" s="131">
        <v>0</v>
      </c>
      <c r="S26" s="131">
        <v>0</v>
      </c>
      <c r="T26" s="131">
        <v>0</v>
      </c>
      <c r="U26" s="131">
        <v>0</v>
      </c>
      <c r="V26" s="131">
        <v>0</v>
      </c>
      <c r="W26" s="131">
        <v>0</v>
      </c>
      <c r="X26" s="131">
        <v>0</v>
      </c>
      <c r="Y26" s="241">
        <f t="shared" si="4"/>
        <v>0</v>
      </c>
      <c r="AA26" s="5"/>
      <c r="AB26" s="5"/>
      <c r="AC26" s="5"/>
      <c r="AD26" s="5"/>
      <c r="AE26" s="5"/>
      <c r="AF26" s="5"/>
      <c r="AG26" s="5"/>
      <c r="AK26" s="283"/>
      <c r="AL26" s="283"/>
      <c r="AM26" s="283"/>
      <c r="AN26" s="283"/>
      <c r="AO26" s="289"/>
      <c r="AP26" s="289"/>
      <c r="AQ26" s="289"/>
      <c r="AR26" s="289"/>
      <c r="AS26" s="289"/>
      <c r="AT26" s="289"/>
      <c r="AU26" s="283"/>
      <c r="AV26" s="283"/>
    </row>
    <row r="27" spans="2:48" x14ac:dyDescent="0.25">
      <c r="B27" s="82"/>
      <c r="C27" s="21" t="s">
        <v>433</v>
      </c>
      <c r="D27" s="21" t="str">
        <f>INDEX(Unit_Rates!$C$7:$K$116,MATCH($C27,Unit_Rates!$C$7:$C$116,0),5)</f>
        <v>Subtransmission</v>
      </c>
      <c r="E27" s="21" t="str">
        <f>INDEX(Unit_Rates!$C$7:$K$116,MATCH($C27,Unit_Rates!$C$7:$C$116,0),6)</f>
        <v>Augmentation</v>
      </c>
      <c r="F27" s="21" t="str">
        <f t="shared" ref="F27" si="14">D27&amp;E27</f>
        <v>SubtransmissionAugmentation</v>
      </c>
      <c r="G27" s="167">
        <f>INDEX(Unit_Rates!$C$7:$K$116,MATCH($C27,Unit_Rates!$C$7:$C$116,0),7)</f>
        <v>907.54355555038592</v>
      </c>
      <c r="H27" s="168">
        <v>4</v>
      </c>
      <c r="I27" s="172" t="s">
        <v>278</v>
      </c>
      <c r="J27" s="173"/>
      <c r="K27" s="174">
        <f t="shared" ref="K27" si="15">G27*$H27</f>
        <v>3630.1742222015437</v>
      </c>
      <c r="L27" s="174">
        <f t="shared" ref="L27" si="16">SUMPRODUCT(R$5:X$5,R27:X27)/Thousands</f>
        <v>0</v>
      </c>
      <c r="M27" s="175"/>
      <c r="N27" s="363"/>
      <c r="O27" s="363"/>
      <c r="P27" s="366"/>
      <c r="Q27" s="250">
        <f>P27-H27*VLOOKUP(C27,Unit_Rates!$C$7:$E$116,3,FALSE)</f>
        <v>0</v>
      </c>
      <c r="R27" s="131">
        <v>0</v>
      </c>
      <c r="S27" s="131">
        <v>0</v>
      </c>
      <c r="T27" s="131">
        <v>0</v>
      </c>
      <c r="U27" s="131">
        <v>0</v>
      </c>
      <c r="V27" s="131">
        <v>0</v>
      </c>
      <c r="W27" s="131">
        <v>0</v>
      </c>
      <c r="X27" s="131">
        <v>0</v>
      </c>
      <c r="Y27" s="241">
        <f t="shared" ref="Y27" si="17">SUM(R27:X27)</f>
        <v>0</v>
      </c>
      <c r="AA27" s="5"/>
      <c r="AB27" s="5"/>
      <c r="AC27" s="5"/>
      <c r="AD27" s="5"/>
      <c r="AE27" s="5"/>
      <c r="AF27" s="5"/>
      <c r="AG27" s="5"/>
      <c r="AK27" s="283"/>
      <c r="AL27" s="283"/>
      <c r="AM27" s="283"/>
      <c r="AN27" s="283"/>
      <c r="AO27" s="289"/>
      <c r="AP27" s="289"/>
      <c r="AQ27" s="289"/>
      <c r="AR27" s="289"/>
      <c r="AS27" s="289"/>
      <c r="AT27" s="289"/>
      <c r="AU27" s="283"/>
      <c r="AV27" s="283"/>
    </row>
    <row r="28" spans="2:48" x14ac:dyDescent="0.25">
      <c r="B28" s="82"/>
      <c r="C28" s="21" t="s">
        <v>368</v>
      </c>
      <c r="D28" s="21" t="str">
        <f>INDEX(Unit_Rates!$C$7:$K$116,MATCH($C28,Unit_Rates!$C$7:$C$116,0),5)</f>
        <v>Subtransmission</v>
      </c>
      <c r="E28" s="21" t="str">
        <f>INDEX(Unit_Rates!$C$7:$K$116,MATCH($C28,Unit_Rates!$C$7:$C$116,0),6)</f>
        <v>Augmentation</v>
      </c>
      <c r="F28" s="21" t="str">
        <f t="shared" ref="F28:F29" si="18">D28&amp;E28</f>
        <v>SubtransmissionAugmentation</v>
      </c>
      <c r="G28" s="167">
        <f>INDEX(Unit_Rates!$C$7:$K$116,MATCH($C28,Unit_Rates!$C$7:$C$116,0),7)</f>
        <v>1184.64554006969</v>
      </c>
      <c r="H28" s="168">
        <v>2</v>
      </c>
      <c r="I28" s="172" t="s">
        <v>278</v>
      </c>
      <c r="J28" s="173"/>
      <c r="K28" s="174">
        <f t="shared" ref="K28" si="19">G28*$H28</f>
        <v>2369.29108013938</v>
      </c>
      <c r="L28" s="174">
        <f t="shared" ref="L28" si="20">SUMPRODUCT(R$5:X$5,R28:X28)/Thousands</f>
        <v>0</v>
      </c>
      <c r="M28" s="175"/>
      <c r="N28" s="363"/>
      <c r="O28" s="363"/>
      <c r="P28" s="366"/>
      <c r="Q28" s="250">
        <f>P28-H28*VLOOKUP(C28,Unit_Rates!$C$7:$E$116,3,FALSE)</f>
        <v>0</v>
      </c>
      <c r="R28" s="131">
        <v>0</v>
      </c>
      <c r="S28" s="131">
        <v>0</v>
      </c>
      <c r="T28" s="131">
        <v>0</v>
      </c>
      <c r="U28" s="131">
        <v>0</v>
      </c>
      <c r="V28" s="131">
        <v>0</v>
      </c>
      <c r="W28" s="131">
        <v>0</v>
      </c>
      <c r="X28" s="131">
        <v>0</v>
      </c>
      <c r="Y28" s="241">
        <f t="shared" ref="Y28:Y29" si="21">SUM(R28:X28)</f>
        <v>0</v>
      </c>
      <c r="AA28" s="5"/>
      <c r="AB28" s="5"/>
      <c r="AC28" s="5"/>
      <c r="AD28" s="5"/>
      <c r="AE28" s="5"/>
      <c r="AF28" s="5"/>
      <c r="AG28" s="5"/>
      <c r="AK28" s="283"/>
      <c r="AL28" s="283"/>
      <c r="AM28" s="283"/>
      <c r="AN28" s="283"/>
      <c r="AO28" s="289"/>
      <c r="AP28" s="289"/>
      <c r="AQ28" s="289"/>
      <c r="AR28" s="289"/>
      <c r="AS28" s="289"/>
      <c r="AT28" s="289"/>
      <c r="AU28" s="283"/>
      <c r="AV28" s="283"/>
    </row>
    <row r="29" spans="2:48" x14ac:dyDescent="0.25">
      <c r="B29" s="251"/>
      <c r="C29" s="21" t="s">
        <v>373</v>
      </c>
      <c r="D29" s="330" t="s">
        <v>3</v>
      </c>
      <c r="E29" t="s">
        <v>25</v>
      </c>
      <c r="F29" t="str">
        <f t="shared" si="18"/>
        <v>SubtransmissionAugmentation</v>
      </c>
      <c r="G29" s="167">
        <f>Unit_Rates!I$152</f>
        <v>37.603922249219011</v>
      </c>
      <c r="H29" s="168">
        <v>8</v>
      </c>
      <c r="I29" s="120" t="s">
        <v>278</v>
      </c>
      <c r="J29" s="106"/>
      <c r="K29" s="174">
        <f t="shared" ref="K29" si="22">G29*H29</f>
        <v>300.83137799375208</v>
      </c>
      <c r="L29" s="174">
        <f t="shared" ref="L29" si="23">SUMPRODUCT(R$5:X$5,R29:X29)/Thousands</f>
        <v>79.991812598725971</v>
      </c>
      <c r="M29" s="175">
        <f>$H29*Unit_Rates!K$152</f>
        <v>76.686403709109754</v>
      </c>
      <c r="N29" s="367"/>
      <c r="O29" s="367"/>
      <c r="P29" s="367"/>
      <c r="Q29" s="149">
        <f>P29-H29*VLOOKUP(C29,Unit_Rates!$C$7:$E$152,3,FALSE)</f>
        <v>-981.42486329723147</v>
      </c>
      <c r="R29" s="131">
        <f>$H29*Z29*Unit_Rates!$J$152*1000/R$5</f>
        <v>149.23900565112052</v>
      </c>
      <c r="S29" s="131">
        <f>$H29*AA29*Unit_Rates!$J$152*1000/S$5</f>
        <v>170.99870990693759</v>
      </c>
      <c r="T29" s="131">
        <f>$H29*AB29*Unit_Rates!$J$152*1000/T$5</f>
        <v>168.8652824763264</v>
      </c>
      <c r="U29" s="131">
        <v>0</v>
      </c>
      <c r="V29" s="131">
        <v>0</v>
      </c>
      <c r="W29" s="131">
        <v>0</v>
      </c>
      <c r="X29" s="131">
        <v>0</v>
      </c>
      <c r="Y29" s="75">
        <f t="shared" si="21"/>
        <v>489.10299803438448</v>
      </c>
      <c r="Z29" s="6">
        <v>0.30314923274650007</v>
      </c>
      <c r="AA29" s="6">
        <v>0.32449777026385923</v>
      </c>
      <c r="AB29" s="324">
        <v>0.37235299698964058</v>
      </c>
      <c r="AC29" s="5"/>
      <c r="AD29" s="5"/>
      <c r="AE29" s="5"/>
      <c r="AF29" s="5"/>
      <c r="AG29" s="5"/>
      <c r="AK29" s="283"/>
      <c r="AL29" s="283"/>
      <c r="AM29" s="283"/>
      <c r="AN29" s="283"/>
      <c r="AO29" s="289"/>
      <c r="AP29" s="289"/>
      <c r="AQ29" s="289"/>
      <c r="AR29" s="289"/>
      <c r="AS29" s="289"/>
      <c r="AT29" s="289"/>
      <c r="AU29" s="283"/>
      <c r="AV29" s="283"/>
    </row>
    <row r="30" spans="2:48" x14ac:dyDescent="0.25">
      <c r="B30" s="82"/>
      <c r="C30" s="21" t="s">
        <v>114</v>
      </c>
      <c r="D30" s="21" t="str">
        <f>INDEX(Unit_Rates!$C$7:$K$116,MATCH($C30,Unit_Rates!$C$7:$C$116,0),5)</f>
        <v>Subtransmission</v>
      </c>
      <c r="E30" s="21" t="str">
        <f>INDEX(Unit_Rates!$C$7:$K$116,MATCH($C30,Unit_Rates!$C$7:$C$116,0),6)</f>
        <v>Augmentation</v>
      </c>
      <c r="F30" s="21" t="str">
        <f t="shared" si="5"/>
        <v>SubtransmissionAugmentation</v>
      </c>
      <c r="G30" s="167">
        <f>INDEX(Unit_Rates!$C$7:$K$116,MATCH($C30,Unit_Rates!$C$7:$C$116,0),7)</f>
        <v>39.294999999999995</v>
      </c>
      <c r="H30" s="168"/>
      <c r="I30" s="120" t="s">
        <v>278</v>
      </c>
      <c r="J30" s="162"/>
      <c r="K30" s="169">
        <f>G30*H30</f>
        <v>0</v>
      </c>
      <c r="L30" s="170">
        <f t="shared" si="3"/>
        <v>0</v>
      </c>
      <c r="M30" s="171"/>
      <c r="N30" s="363"/>
      <c r="O30" s="363"/>
      <c r="P30" s="364"/>
      <c r="Q30" s="250">
        <f>P30-H30*VLOOKUP(C30,Unit_Rates!$C$7:$E$116,3,FALSE)</f>
        <v>0</v>
      </c>
      <c r="R30" s="131">
        <v>0</v>
      </c>
      <c r="S30" s="131">
        <v>0</v>
      </c>
      <c r="T30" s="131">
        <v>0</v>
      </c>
      <c r="U30" s="131">
        <v>0</v>
      </c>
      <c r="V30" s="131">
        <v>0</v>
      </c>
      <c r="W30" s="131">
        <v>0</v>
      </c>
      <c r="X30" s="131">
        <v>0</v>
      </c>
      <c r="Y30" s="241">
        <f t="shared" si="4"/>
        <v>0</v>
      </c>
      <c r="AA30" s="5"/>
      <c r="AB30" s="5"/>
      <c r="AC30" s="5"/>
      <c r="AD30" s="5"/>
      <c r="AE30" s="5"/>
      <c r="AF30" s="5"/>
      <c r="AG30" s="5"/>
      <c r="AK30" s="283"/>
      <c r="AL30" s="283"/>
      <c r="AM30" s="283"/>
      <c r="AN30" s="283"/>
      <c r="AO30" s="289"/>
      <c r="AP30" s="289"/>
      <c r="AQ30" s="289"/>
      <c r="AR30" s="289"/>
      <c r="AS30" s="289"/>
      <c r="AT30" s="289"/>
      <c r="AU30" s="283"/>
      <c r="AV30" s="283"/>
    </row>
    <row r="31" spans="2:48" x14ac:dyDescent="0.25">
      <c r="B31" s="82"/>
      <c r="C31" s="21" t="s">
        <v>118</v>
      </c>
      <c r="D31" s="21" t="str">
        <f>INDEX(Unit_Rates!$C$7:$K$116,MATCH($C31,Unit_Rates!$C$7:$C$116,0),5)</f>
        <v>Subtransmission</v>
      </c>
      <c r="E31" s="21" t="str">
        <f>INDEX(Unit_Rates!$C$7:$K$116,MATCH($C31,Unit_Rates!$C$7:$C$116,0),6)</f>
        <v>Augmentation</v>
      </c>
      <c r="F31" s="21" t="str">
        <f t="shared" si="5"/>
        <v>SubtransmissionAugmentation</v>
      </c>
      <c r="G31" s="167">
        <f>INDEX(Unit_Rates!$C$7:$K$116,MATCH($C31,Unit_Rates!$C$7:$C$116,0),7)</f>
        <v>0</v>
      </c>
      <c r="H31" s="168"/>
      <c r="I31" s="120" t="s">
        <v>278</v>
      </c>
      <c r="J31" s="162"/>
      <c r="K31" s="169">
        <f>G31*H31</f>
        <v>0</v>
      </c>
      <c r="L31" s="170">
        <f t="shared" si="3"/>
        <v>0</v>
      </c>
      <c r="M31" s="171"/>
      <c r="N31" s="363"/>
      <c r="O31" s="363"/>
      <c r="P31" s="364"/>
      <c r="Q31" s="250">
        <f>P31-H31*VLOOKUP(C31,Unit_Rates!$C$7:$E$116,3,FALSE)</f>
        <v>0</v>
      </c>
      <c r="R31" s="131">
        <v>0</v>
      </c>
      <c r="S31" s="131">
        <v>0</v>
      </c>
      <c r="T31" s="131">
        <v>0</v>
      </c>
      <c r="U31" s="131">
        <v>0</v>
      </c>
      <c r="V31" s="131">
        <v>0</v>
      </c>
      <c r="W31" s="131">
        <v>0</v>
      </c>
      <c r="X31" s="131">
        <v>0</v>
      </c>
      <c r="Y31" s="241">
        <f t="shared" si="4"/>
        <v>0</v>
      </c>
      <c r="AA31" s="5"/>
      <c r="AB31" s="5"/>
      <c r="AC31" s="5"/>
      <c r="AD31" s="5"/>
      <c r="AE31" s="5"/>
      <c r="AF31" s="5"/>
      <c r="AG31" s="5"/>
      <c r="AK31" s="283"/>
      <c r="AL31" s="349"/>
      <c r="AM31" s="283"/>
      <c r="AN31" s="283"/>
      <c r="AO31" s="289"/>
      <c r="AP31" s="289"/>
      <c r="AQ31" s="289"/>
      <c r="AR31" s="289"/>
      <c r="AS31" s="289"/>
      <c r="AT31" s="289"/>
      <c r="AU31" s="283"/>
      <c r="AV31" s="283"/>
    </row>
    <row r="32" spans="2:48" x14ac:dyDescent="0.25">
      <c r="B32" s="82"/>
      <c r="C32" s="21" t="s">
        <v>119</v>
      </c>
      <c r="D32" s="21" t="str">
        <f>INDEX(Unit_Rates!$C$7:$K$116,MATCH($C32,Unit_Rates!$C$7:$C$116,0),5)</f>
        <v>SCADA/Network control</v>
      </c>
      <c r="E32" s="21" t="str">
        <f>INDEX(Unit_Rates!$C$7:$K$116,MATCH($C32,Unit_Rates!$C$7:$C$116,0),6)</f>
        <v>Augmentation</v>
      </c>
      <c r="F32" s="21" t="str">
        <f t="shared" si="5"/>
        <v>SCADA/Network controlAugmentation</v>
      </c>
      <c r="G32" s="167">
        <f>INDEX(Unit_Rates!$C$7:$K$116,MATCH($C32,Unit_Rates!$C$7:$C$116,0),7)</f>
        <v>1158.2999999999995</v>
      </c>
      <c r="H32" s="168">
        <v>3</v>
      </c>
      <c r="I32" s="120" t="s">
        <v>278</v>
      </c>
      <c r="J32" s="162"/>
      <c r="K32" s="169">
        <f>G32*H32</f>
        <v>3474.8999999999987</v>
      </c>
      <c r="L32" s="170">
        <f t="shared" si="3"/>
        <v>0</v>
      </c>
      <c r="M32" s="171"/>
      <c r="N32" s="363"/>
      <c r="O32" s="363"/>
      <c r="P32" s="364"/>
      <c r="Q32" s="250">
        <f>P32-H32*VLOOKUP(C32,Unit_Rates!$C$7:$E$116,3,FALSE)</f>
        <v>0</v>
      </c>
      <c r="R32" s="131">
        <v>0</v>
      </c>
      <c r="S32" s="131">
        <v>0</v>
      </c>
      <c r="T32" s="131">
        <v>0</v>
      </c>
      <c r="U32" s="131">
        <v>0</v>
      </c>
      <c r="V32" s="131">
        <v>0</v>
      </c>
      <c r="W32" s="131">
        <v>0</v>
      </c>
      <c r="X32" s="131">
        <v>0</v>
      </c>
      <c r="Y32" s="241">
        <f t="shared" si="4"/>
        <v>0</v>
      </c>
      <c r="AA32" s="5"/>
      <c r="AB32" s="5"/>
      <c r="AC32" s="5"/>
      <c r="AD32" s="5"/>
      <c r="AE32" s="5"/>
      <c r="AF32" s="5"/>
      <c r="AG32" s="5"/>
      <c r="AK32" s="283"/>
      <c r="AL32" s="283"/>
      <c r="AM32" s="283"/>
      <c r="AN32" s="283"/>
      <c r="AO32" s="289"/>
      <c r="AP32" s="289"/>
      <c r="AQ32" s="289"/>
      <c r="AR32" s="289"/>
      <c r="AS32" s="289"/>
      <c r="AT32" s="289"/>
      <c r="AU32" s="283"/>
      <c r="AV32" s="283"/>
    </row>
    <row r="33" spans="2:48" x14ac:dyDescent="0.25">
      <c r="B33" s="82"/>
      <c r="C33" s="21" t="s">
        <v>121</v>
      </c>
      <c r="D33" s="21" t="str">
        <f>INDEX(Unit_Rates!$C$7:$K$116,MATCH($C33,Unit_Rates!$C$7:$C$116,0),5)</f>
        <v>Subtransmission</v>
      </c>
      <c r="E33" s="21" t="str">
        <f>INDEX(Unit_Rates!$C$7:$K$116,MATCH($C33,Unit_Rates!$C$7:$C$116,0),6)</f>
        <v>Augmentation</v>
      </c>
      <c r="F33" s="21" t="str">
        <f t="shared" si="5"/>
        <v>SubtransmissionAugmentation</v>
      </c>
      <c r="G33" s="167">
        <f>INDEX(Unit_Rates!$C$7:$K$116,MATCH($C33,Unit_Rates!$C$7:$C$116,0),7)</f>
        <v>0</v>
      </c>
      <c r="H33" s="168">
        <v>2</v>
      </c>
      <c r="I33" s="120" t="s">
        <v>278</v>
      </c>
      <c r="J33" s="162"/>
      <c r="K33" s="169">
        <f>G33*H33</f>
        <v>0</v>
      </c>
      <c r="L33" s="170">
        <f t="shared" si="3"/>
        <v>0</v>
      </c>
      <c r="M33" s="171"/>
      <c r="N33" s="363"/>
      <c r="O33" s="363"/>
      <c r="P33" s="364"/>
      <c r="Q33" s="250">
        <f>P33-H33*VLOOKUP(C33,Unit_Rates!$C$7:$E$116,3,FALSE)</f>
        <v>0</v>
      </c>
      <c r="R33" s="131">
        <v>0</v>
      </c>
      <c r="S33" s="131">
        <v>0</v>
      </c>
      <c r="T33" s="131">
        <v>0</v>
      </c>
      <c r="U33" s="131">
        <v>0</v>
      </c>
      <c r="V33" s="131">
        <v>0</v>
      </c>
      <c r="W33" s="131">
        <v>0</v>
      </c>
      <c r="X33" s="131">
        <v>0</v>
      </c>
      <c r="Y33" s="241">
        <f t="shared" si="4"/>
        <v>0</v>
      </c>
      <c r="AK33" s="283"/>
      <c r="AL33" s="283"/>
      <c r="AM33" s="283"/>
      <c r="AN33" s="283"/>
      <c r="AO33" s="289"/>
      <c r="AP33" s="289"/>
      <c r="AQ33" s="289"/>
      <c r="AR33" s="289"/>
      <c r="AS33" s="289"/>
      <c r="AT33" s="289"/>
      <c r="AU33" s="283"/>
      <c r="AV33" s="283"/>
    </row>
    <row r="34" spans="2:48" x14ac:dyDescent="0.25">
      <c r="B34" s="82"/>
      <c r="C34" s="21" t="s">
        <v>123</v>
      </c>
      <c r="D34" s="21" t="str">
        <f>INDEX(Unit_Rates!$C$7:$K$116,MATCH($C34,Unit_Rates!$C$7:$C$116,0),5)</f>
        <v>Subtransmission</v>
      </c>
      <c r="E34" s="21" t="str">
        <f>INDEX(Unit_Rates!$C$7:$K$116,MATCH($C34,Unit_Rates!$C$7:$C$116,0),6)</f>
        <v>Augmentation</v>
      </c>
      <c r="F34" s="21" t="str">
        <f t="shared" si="5"/>
        <v>SubtransmissionAugmentation</v>
      </c>
      <c r="G34" s="167">
        <f>INDEX(Unit_Rates!$C$7:$K$116,MATCH($C34,Unit_Rates!$C$7:$C$116,0),7)</f>
        <v>1353.9999999999995</v>
      </c>
      <c r="H34" s="168"/>
      <c r="I34" s="120" t="s">
        <v>278</v>
      </c>
      <c r="J34" s="162"/>
      <c r="K34" s="169">
        <f t="shared" ref="K34:K53" si="24">G34*H34</f>
        <v>0</v>
      </c>
      <c r="L34" s="170">
        <f t="shared" si="3"/>
        <v>0</v>
      </c>
      <c r="M34" s="171"/>
      <c r="N34" s="363"/>
      <c r="O34" s="363"/>
      <c r="P34" s="364"/>
      <c r="Q34" s="250">
        <f>P34-H34*VLOOKUP(C34,Unit_Rates!$C$7:$E$116,3,FALSE)</f>
        <v>0</v>
      </c>
      <c r="R34" s="131">
        <v>0</v>
      </c>
      <c r="S34" s="131">
        <v>0</v>
      </c>
      <c r="T34" s="131">
        <v>0</v>
      </c>
      <c r="U34" s="131">
        <v>0</v>
      </c>
      <c r="V34" s="131">
        <v>0</v>
      </c>
      <c r="W34" s="131">
        <v>0</v>
      </c>
      <c r="X34" s="131">
        <v>0</v>
      </c>
      <c r="Y34" s="241">
        <f t="shared" si="4"/>
        <v>0</v>
      </c>
      <c r="AK34" s="283"/>
      <c r="AL34" s="283"/>
      <c r="AM34" s="283"/>
      <c r="AN34" s="283"/>
      <c r="AO34" s="289"/>
      <c r="AP34" s="289"/>
      <c r="AQ34" s="289"/>
      <c r="AR34" s="289"/>
      <c r="AS34" s="289"/>
      <c r="AT34" s="289"/>
      <c r="AU34" s="283"/>
      <c r="AV34" s="283"/>
    </row>
    <row r="35" spans="2:48" x14ac:dyDescent="0.25">
      <c r="B35" s="82"/>
      <c r="C35" s="21" t="s">
        <v>125</v>
      </c>
      <c r="D35" s="21" t="str">
        <f>INDEX(Unit_Rates!$C$7:$K$116,MATCH($C35,Unit_Rates!$C$7:$C$116,0),5)</f>
        <v>Subtransmission</v>
      </c>
      <c r="E35" s="21" t="str">
        <f>INDEX(Unit_Rates!$C$7:$K$116,MATCH($C35,Unit_Rates!$C$7:$C$116,0),6)</f>
        <v>Augmentation</v>
      </c>
      <c r="F35" s="21" t="str">
        <f t="shared" si="5"/>
        <v>SubtransmissionAugmentation</v>
      </c>
      <c r="G35" s="167">
        <f>INDEX(Unit_Rates!$C$7:$K$116,MATCH($C35,Unit_Rates!$C$7:$C$116,0),7)</f>
        <v>1461.1162790697672</v>
      </c>
      <c r="H35" s="168"/>
      <c r="I35" s="120" t="s">
        <v>278</v>
      </c>
      <c r="J35" s="162"/>
      <c r="K35" s="169">
        <f t="shared" si="24"/>
        <v>0</v>
      </c>
      <c r="L35" s="170">
        <f t="shared" si="3"/>
        <v>0</v>
      </c>
      <c r="M35" s="171"/>
      <c r="N35" s="363"/>
      <c r="O35" s="363"/>
      <c r="P35" s="364"/>
      <c r="Q35" s="250">
        <f>P35-H35*VLOOKUP(C35,Unit_Rates!$C$7:$E$116,3,FALSE)</f>
        <v>0</v>
      </c>
      <c r="R35" s="131">
        <v>0</v>
      </c>
      <c r="S35" s="131">
        <v>0</v>
      </c>
      <c r="T35" s="131">
        <v>0</v>
      </c>
      <c r="U35" s="131">
        <v>0</v>
      </c>
      <c r="V35" s="131">
        <v>0</v>
      </c>
      <c r="W35" s="131">
        <v>0</v>
      </c>
      <c r="X35" s="131">
        <v>0</v>
      </c>
      <c r="Y35" s="241">
        <f t="shared" si="4"/>
        <v>0</v>
      </c>
      <c r="AK35" s="283"/>
      <c r="AL35" s="283"/>
      <c r="AM35" s="283"/>
      <c r="AN35" s="283"/>
      <c r="AO35" s="289"/>
      <c r="AP35" s="289"/>
      <c r="AQ35" s="289"/>
      <c r="AR35" s="289"/>
      <c r="AS35" s="289"/>
      <c r="AT35" s="289"/>
      <c r="AU35" s="283"/>
      <c r="AV35" s="283"/>
    </row>
    <row r="36" spans="2:48" x14ac:dyDescent="0.25">
      <c r="B36" s="82"/>
      <c r="C36" s="21" t="s">
        <v>127</v>
      </c>
      <c r="D36" s="21" t="str">
        <f>INDEX(Unit_Rates!$C$7:$K$116,MATCH($C36,Unit_Rates!$C$7:$C$116,0),5)</f>
        <v>Subtransmission</v>
      </c>
      <c r="E36" s="21" t="str">
        <f>INDEX(Unit_Rates!$C$7:$K$116,MATCH($C36,Unit_Rates!$C$7:$C$116,0),6)</f>
        <v>Augmentation</v>
      </c>
      <c r="F36" s="21" t="str">
        <f t="shared" si="5"/>
        <v>SubtransmissionAugmentation</v>
      </c>
      <c r="G36" s="167">
        <f>INDEX(Unit_Rates!$C$7:$K$116,MATCH($C36,Unit_Rates!$C$7:$C$116,0),7)</f>
        <v>699.99999999999989</v>
      </c>
      <c r="H36" s="168"/>
      <c r="I36" s="120" t="s">
        <v>278</v>
      </c>
      <c r="J36" s="162"/>
      <c r="K36" s="169">
        <f t="shared" si="24"/>
        <v>0</v>
      </c>
      <c r="L36" s="170">
        <f t="shared" si="3"/>
        <v>0</v>
      </c>
      <c r="M36" s="171"/>
      <c r="N36" s="363"/>
      <c r="O36" s="363"/>
      <c r="P36" s="364"/>
      <c r="Q36" s="250">
        <f>P36-H36*VLOOKUP(C36,Unit_Rates!$C$7:$E$116,3,FALSE)</f>
        <v>0</v>
      </c>
      <c r="R36" s="131">
        <v>0</v>
      </c>
      <c r="S36" s="131">
        <v>0</v>
      </c>
      <c r="T36" s="131">
        <v>0</v>
      </c>
      <c r="U36" s="131">
        <v>0</v>
      </c>
      <c r="V36" s="131">
        <v>0</v>
      </c>
      <c r="W36" s="131">
        <v>0</v>
      </c>
      <c r="X36" s="131">
        <v>0</v>
      </c>
      <c r="Y36" s="241">
        <f t="shared" si="4"/>
        <v>0</v>
      </c>
      <c r="AK36" s="283"/>
      <c r="AL36" s="283"/>
      <c r="AM36" s="283"/>
      <c r="AN36" s="283"/>
      <c r="AO36" s="289"/>
      <c r="AP36" s="289"/>
      <c r="AQ36" s="289"/>
      <c r="AR36" s="289"/>
      <c r="AS36" s="289"/>
      <c r="AT36" s="289"/>
      <c r="AU36" s="283"/>
      <c r="AV36" s="283"/>
    </row>
    <row r="37" spans="2:48" x14ac:dyDescent="0.25">
      <c r="B37" s="82"/>
      <c r="C37" s="21" t="s">
        <v>133</v>
      </c>
      <c r="D37" s="21" t="str">
        <f>INDEX(Unit_Rates!$C$7:$K$116,MATCH($C37,Unit_Rates!$C$7:$C$116,0),5)</f>
        <v>Subtransmission</v>
      </c>
      <c r="E37" s="21" t="str">
        <f>INDEX(Unit_Rates!$C$7:$K$116,MATCH($C37,Unit_Rates!$C$7:$C$116,0),6)</f>
        <v>Augmentation</v>
      </c>
      <c r="F37" s="21" t="str">
        <f t="shared" si="5"/>
        <v>SubtransmissionAugmentation</v>
      </c>
      <c r="G37" s="167">
        <f>INDEX(Unit_Rates!$C$7:$K$116,MATCH($C37,Unit_Rates!$C$7:$C$116,0),7)</f>
        <v>91.292437209302321</v>
      </c>
      <c r="H37" s="168"/>
      <c r="I37" s="120" t="s">
        <v>278</v>
      </c>
      <c r="J37" s="162"/>
      <c r="K37" s="169">
        <f t="shared" si="24"/>
        <v>0</v>
      </c>
      <c r="L37" s="170">
        <f t="shared" si="3"/>
        <v>0</v>
      </c>
      <c r="M37" s="171"/>
      <c r="N37" s="363"/>
      <c r="O37" s="363"/>
      <c r="P37" s="364"/>
      <c r="Q37" s="250">
        <f>P37-H37*VLOOKUP(C37,Unit_Rates!$C$7:$E$116,3,FALSE)</f>
        <v>0</v>
      </c>
      <c r="R37" s="131">
        <v>0</v>
      </c>
      <c r="S37" s="131">
        <v>0</v>
      </c>
      <c r="T37" s="131">
        <v>0</v>
      </c>
      <c r="U37" s="131">
        <v>0</v>
      </c>
      <c r="V37" s="131">
        <v>0</v>
      </c>
      <c r="W37" s="131">
        <v>0</v>
      </c>
      <c r="X37" s="131">
        <v>0</v>
      </c>
      <c r="Y37" s="241">
        <f t="shared" si="4"/>
        <v>0</v>
      </c>
      <c r="AK37" s="283"/>
      <c r="AL37" s="283"/>
      <c r="AM37" s="283"/>
      <c r="AN37" s="283"/>
      <c r="AO37" s="289"/>
      <c r="AP37" s="289"/>
      <c r="AQ37" s="289"/>
      <c r="AR37" s="289"/>
      <c r="AS37" s="289"/>
      <c r="AT37" s="289"/>
      <c r="AU37" s="283"/>
      <c r="AV37" s="283"/>
    </row>
    <row r="38" spans="2:48" x14ac:dyDescent="0.25">
      <c r="B38" s="82"/>
      <c r="C38" s="21" t="s">
        <v>135</v>
      </c>
      <c r="D38" s="21" t="str">
        <f>INDEX(Unit_Rates!$C$7:$K$116,MATCH($C38,Unit_Rates!$C$7:$C$116,0),5)</f>
        <v>Subtransmission</v>
      </c>
      <c r="E38" s="21" t="str">
        <f>INDEX(Unit_Rates!$C$7:$K$116,MATCH($C38,Unit_Rates!$C$7:$C$116,0),6)</f>
        <v>Augmentation</v>
      </c>
      <c r="F38" s="21" t="str">
        <f t="shared" si="5"/>
        <v>SubtransmissionAugmentation</v>
      </c>
      <c r="G38" s="167">
        <f>INDEX(Unit_Rates!$C$7:$K$116,MATCH($C38,Unit_Rates!$C$7:$C$116,0),7)</f>
        <v>0</v>
      </c>
      <c r="H38" s="168"/>
      <c r="I38" s="120" t="s">
        <v>278</v>
      </c>
      <c r="J38" s="162"/>
      <c r="K38" s="169">
        <f t="shared" si="24"/>
        <v>0</v>
      </c>
      <c r="L38" s="170">
        <f t="shared" si="3"/>
        <v>0</v>
      </c>
      <c r="M38" s="171"/>
      <c r="N38" s="363"/>
      <c r="O38" s="363"/>
      <c r="P38" s="364"/>
      <c r="Q38" s="250">
        <f>P38-H38*VLOOKUP(C38,Unit_Rates!$C$7:$E$116,3,FALSE)</f>
        <v>0</v>
      </c>
      <c r="R38" s="131">
        <v>0</v>
      </c>
      <c r="S38" s="131">
        <v>0</v>
      </c>
      <c r="T38" s="131">
        <v>0</v>
      </c>
      <c r="U38" s="131">
        <v>0</v>
      </c>
      <c r="V38" s="131">
        <v>0</v>
      </c>
      <c r="W38" s="131">
        <v>0</v>
      </c>
      <c r="X38" s="131">
        <v>0</v>
      </c>
      <c r="Y38" s="241">
        <f t="shared" si="4"/>
        <v>0</v>
      </c>
      <c r="AK38" s="283"/>
      <c r="AL38" s="283"/>
      <c r="AM38" s="283"/>
      <c r="AN38" s="283"/>
      <c r="AO38" s="289"/>
      <c r="AP38" s="289"/>
      <c r="AQ38" s="289"/>
      <c r="AR38" s="289"/>
      <c r="AS38" s="289"/>
      <c r="AT38" s="289"/>
      <c r="AU38" s="283"/>
      <c r="AV38" s="283"/>
    </row>
    <row r="39" spans="2:48" x14ac:dyDescent="0.25">
      <c r="B39" s="82"/>
      <c r="C39" s="21" t="s">
        <v>136</v>
      </c>
      <c r="D39" s="21" t="str">
        <f>INDEX(Unit_Rates!$C$7:$K$116,MATCH($C39,Unit_Rates!$C$7:$C$116,0),5)</f>
        <v>Subtransmission</v>
      </c>
      <c r="E39" s="21" t="str">
        <f>INDEX(Unit_Rates!$C$7:$K$116,MATCH($C39,Unit_Rates!$C$7:$C$116,0),6)</f>
        <v>Augmentation</v>
      </c>
      <c r="F39" s="21" t="str">
        <f t="shared" si="5"/>
        <v>SubtransmissionAugmentation</v>
      </c>
      <c r="G39" s="167">
        <f>INDEX(Unit_Rates!$C$7:$K$116,MATCH($C39,Unit_Rates!$C$7:$C$116,0),7)</f>
        <v>107.00599999999997</v>
      </c>
      <c r="H39" s="168"/>
      <c r="I39" s="120" t="s">
        <v>278</v>
      </c>
      <c r="J39" s="162"/>
      <c r="K39" s="169">
        <f t="shared" si="24"/>
        <v>0</v>
      </c>
      <c r="L39" s="170">
        <f t="shared" si="3"/>
        <v>0</v>
      </c>
      <c r="M39" s="171"/>
      <c r="N39" s="363"/>
      <c r="O39" s="363"/>
      <c r="P39" s="364"/>
      <c r="Q39" s="250">
        <f>P39-H39*VLOOKUP(C39,Unit_Rates!$C$7:$E$116,3,FALSE)</f>
        <v>0</v>
      </c>
      <c r="R39" s="131">
        <v>0</v>
      </c>
      <c r="S39" s="131">
        <v>0</v>
      </c>
      <c r="T39" s="131">
        <v>0</v>
      </c>
      <c r="U39" s="131">
        <v>0</v>
      </c>
      <c r="V39" s="131">
        <v>0</v>
      </c>
      <c r="W39" s="131">
        <v>0</v>
      </c>
      <c r="X39" s="131">
        <v>0</v>
      </c>
      <c r="Y39" s="241">
        <f t="shared" si="4"/>
        <v>0</v>
      </c>
      <c r="AK39" s="283"/>
      <c r="AL39" s="283"/>
      <c r="AM39" s="283"/>
      <c r="AN39" s="283"/>
      <c r="AO39" s="289"/>
      <c r="AP39" s="289"/>
      <c r="AQ39" s="289"/>
      <c r="AR39" s="289"/>
      <c r="AS39" s="289"/>
      <c r="AT39" s="289"/>
      <c r="AU39" s="283"/>
      <c r="AV39" s="283"/>
    </row>
    <row r="40" spans="2:48" x14ac:dyDescent="0.25">
      <c r="B40" s="82"/>
      <c r="C40" s="21" t="s">
        <v>138</v>
      </c>
      <c r="D40" s="21" t="str">
        <f>INDEX(Unit_Rates!$C$7:$K$116,MATCH($C40,Unit_Rates!$C$7:$C$116,0),5)</f>
        <v>Subtransmission</v>
      </c>
      <c r="E40" s="21" t="str">
        <f>INDEX(Unit_Rates!$C$7:$K$116,MATCH($C40,Unit_Rates!$C$7:$C$116,0),6)</f>
        <v>Augmentation</v>
      </c>
      <c r="F40" s="21" t="str">
        <f t="shared" si="5"/>
        <v>SubtransmissionAugmentation</v>
      </c>
      <c r="G40" s="167">
        <f>INDEX(Unit_Rates!$C$7:$K$116,MATCH($C40,Unit_Rates!$C$7:$C$116,0),7)</f>
        <v>7.6639999999999979</v>
      </c>
      <c r="H40" s="168">
        <v>4</v>
      </c>
      <c r="I40" s="120" t="s">
        <v>278</v>
      </c>
      <c r="J40" s="162"/>
      <c r="K40" s="169">
        <f t="shared" si="24"/>
        <v>30.655999999999992</v>
      </c>
      <c r="L40" s="170">
        <f t="shared" si="3"/>
        <v>0</v>
      </c>
      <c r="M40" s="171"/>
      <c r="N40" s="363"/>
      <c r="O40" s="363"/>
      <c r="P40" s="364"/>
      <c r="Q40" s="250">
        <f>P40-H40*VLOOKUP(C40,Unit_Rates!$C$7:$E$116,3,FALSE)</f>
        <v>0</v>
      </c>
      <c r="R40" s="131">
        <v>0</v>
      </c>
      <c r="S40" s="131">
        <v>0</v>
      </c>
      <c r="T40" s="131">
        <v>0</v>
      </c>
      <c r="U40" s="131">
        <v>0</v>
      </c>
      <c r="V40" s="131">
        <v>0</v>
      </c>
      <c r="W40" s="131">
        <v>0</v>
      </c>
      <c r="X40" s="131">
        <v>0</v>
      </c>
      <c r="Y40" s="241">
        <f t="shared" si="4"/>
        <v>0</v>
      </c>
      <c r="AK40" s="283"/>
      <c r="AL40" s="283"/>
      <c r="AM40" s="349"/>
      <c r="AN40" s="283"/>
      <c r="AO40" s="289"/>
      <c r="AP40" s="289"/>
      <c r="AQ40" s="289"/>
      <c r="AR40" s="289"/>
      <c r="AS40" s="289"/>
      <c r="AT40" s="289"/>
      <c r="AU40" s="283"/>
      <c r="AV40" s="283"/>
    </row>
    <row r="41" spans="2:48" x14ac:dyDescent="0.25">
      <c r="B41" s="82"/>
      <c r="C41" s="21" t="s">
        <v>142</v>
      </c>
      <c r="D41" s="21" t="str">
        <f>INDEX(Unit_Rates!$C$7:$K$116,MATCH($C41,Unit_Rates!$C$7:$C$116,0),5)</f>
        <v>Subtransmission</v>
      </c>
      <c r="E41" s="21" t="str">
        <f>INDEX(Unit_Rates!$C$7:$K$116,MATCH($C41,Unit_Rates!$C$7:$C$116,0),6)</f>
        <v>Augmentation</v>
      </c>
      <c r="F41" s="21" t="str">
        <f t="shared" si="5"/>
        <v>SubtransmissionAugmentation</v>
      </c>
      <c r="G41" s="167">
        <f>INDEX(Unit_Rates!$C$7:$K$116,MATCH($C41,Unit_Rates!$C$7:$C$116,0),7)</f>
        <v>27.162999999999993</v>
      </c>
      <c r="H41" s="168">
        <v>2</v>
      </c>
      <c r="I41" s="120" t="s">
        <v>278</v>
      </c>
      <c r="J41" s="162"/>
      <c r="K41" s="169">
        <f t="shared" si="24"/>
        <v>54.325999999999986</v>
      </c>
      <c r="L41" s="170">
        <f t="shared" si="3"/>
        <v>0</v>
      </c>
      <c r="M41" s="171"/>
      <c r="N41" s="363"/>
      <c r="O41" s="363"/>
      <c r="P41" s="364"/>
      <c r="Q41" s="250">
        <f>P41-H41*VLOOKUP(C41,Unit_Rates!$C$7:$E$116,3,FALSE)</f>
        <v>0</v>
      </c>
      <c r="R41" s="131">
        <v>0</v>
      </c>
      <c r="S41" s="131">
        <v>0</v>
      </c>
      <c r="T41" s="131">
        <v>0</v>
      </c>
      <c r="U41" s="131">
        <v>0</v>
      </c>
      <c r="V41" s="131">
        <v>0</v>
      </c>
      <c r="W41" s="131">
        <v>0</v>
      </c>
      <c r="X41" s="131">
        <v>0</v>
      </c>
      <c r="Y41" s="241">
        <f t="shared" si="4"/>
        <v>0</v>
      </c>
      <c r="AK41" s="283"/>
      <c r="AL41" s="283"/>
      <c r="AM41" s="349"/>
      <c r="AN41" s="283"/>
      <c r="AO41" s="289"/>
      <c r="AP41" s="289"/>
      <c r="AQ41" s="289"/>
      <c r="AR41" s="289"/>
      <c r="AS41" s="289"/>
      <c r="AT41" s="289"/>
      <c r="AU41" s="283"/>
      <c r="AV41" s="283"/>
    </row>
    <row r="42" spans="2:48" x14ac:dyDescent="0.25">
      <c r="B42" s="82"/>
      <c r="C42" s="21" t="s">
        <v>143</v>
      </c>
      <c r="D42" s="21" t="str">
        <f>INDEX(Unit_Rates!$C$7:$K$116,MATCH($C42,Unit_Rates!$C$7:$C$116,0),5)</f>
        <v>Subtransmission</v>
      </c>
      <c r="E42" s="21" t="str">
        <f>INDEX(Unit_Rates!$C$7:$K$116,MATCH($C42,Unit_Rates!$C$7:$C$116,0),6)</f>
        <v>Augmentation</v>
      </c>
      <c r="F42" s="21" t="str">
        <f t="shared" si="5"/>
        <v>SubtransmissionAugmentation</v>
      </c>
      <c r="G42" s="167">
        <f>INDEX(Unit_Rates!$C$7:$K$116,MATCH($C42,Unit_Rates!$C$7:$C$116,0),7)</f>
        <v>0</v>
      </c>
      <c r="H42" s="168"/>
      <c r="I42" s="120" t="s">
        <v>278</v>
      </c>
      <c r="J42" s="162"/>
      <c r="K42" s="169">
        <f t="shared" si="24"/>
        <v>0</v>
      </c>
      <c r="L42" s="170">
        <f t="shared" si="3"/>
        <v>0</v>
      </c>
      <c r="M42" s="171"/>
      <c r="N42" s="363"/>
      <c r="O42" s="363"/>
      <c r="P42" s="364"/>
      <c r="Q42" s="250">
        <f>P42-H42*VLOOKUP(C42,Unit_Rates!$C$7:$E$116,3,FALSE)</f>
        <v>0</v>
      </c>
      <c r="R42" s="131">
        <v>0</v>
      </c>
      <c r="S42" s="131">
        <v>0</v>
      </c>
      <c r="T42" s="131">
        <v>0</v>
      </c>
      <c r="U42" s="131">
        <v>0</v>
      </c>
      <c r="V42" s="131">
        <v>0</v>
      </c>
      <c r="W42" s="131">
        <v>0</v>
      </c>
      <c r="X42" s="131">
        <v>0</v>
      </c>
      <c r="Y42" s="241">
        <f t="shared" si="4"/>
        <v>0</v>
      </c>
      <c r="AK42" s="283"/>
      <c r="AL42" s="283"/>
      <c r="AM42" s="349"/>
      <c r="AN42" s="283"/>
      <c r="AO42" s="289"/>
      <c r="AP42" s="289"/>
      <c r="AQ42" s="289"/>
      <c r="AR42" s="289"/>
      <c r="AS42" s="289"/>
      <c r="AT42" s="289"/>
      <c r="AU42" s="283"/>
      <c r="AV42" s="283"/>
    </row>
    <row r="43" spans="2:48" x14ac:dyDescent="0.25">
      <c r="B43" s="82"/>
      <c r="C43" s="21" t="s">
        <v>141</v>
      </c>
      <c r="D43" s="21" t="str">
        <f>INDEX(Unit_Rates!$C$7:$K$116,MATCH($C43,Unit_Rates!$C$7:$C$116,0),5)</f>
        <v>Subtransmission</v>
      </c>
      <c r="E43" s="21" t="str">
        <f>INDEX(Unit_Rates!$C$7:$K$116,MATCH($C43,Unit_Rates!$C$7:$C$116,0),6)</f>
        <v>Augmentation</v>
      </c>
      <c r="F43" s="21" t="str">
        <f t="shared" si="5"/>
        <v>SubtransmissionAugmentation</v>
      </c>
      <c r="G43" s="167">
        <f>INDEX(Unit_Rates!$C$7:$K$116,MATCH($C43,Unit_Rates!$C$7:$C$116,0),7)</f>
        <v>0</v>
      </c>
      <c r="H43" s="168">
        <v>2</v>
      </c>
      <c r="I43" s="120" t="s">
        <v>278</v>
      </c>
      <c r="J43" s="162"/>
      <c r="K43" s="169">
        <f t="shared" si="24"/>
        <v>0</v>
      </c>
      <c r="L43" s="170">
        <f t="shared" si="3"/>
        <v>0</v>
      </c>
      <c r="M43" s="171"/>
      <c r="N43" s="363"/>
      <c r="O43" s="363"/>
      <c r="P43" s="364"/>
      <c r="Q43" s="250">
        <f>P43-H43*VLOOKUP(C43,Unit_Rates!$C$7:$E$116,3,FALSE)</f>
        <v>0</v>
      </c>
      <c r="R43" s="131">
        <v>0</v>
      </c>
      <c r="S43" s="131">
        <v>0</v>
      </c>
      <c r="T43" s="131">
        <v>0</v>
      </c>
      <c r="U43" s="131">
        <v>0</v>
      </c>
      <c r="V43" s="131">
        <v>0</v>
      </c>
      <c r="W43" s="131">
        <v>0</v>
      </c>
      <c r="X43" s="131">
        <v>0</v>
      </c>
      <c r="Y43" s="241">
        <f t="shared" si="4"/>
        <v>0</v>
      </c>
      <c r="AK43" s="283"/>
      <c r="AL43" s="283"/>
      <c r="AM43" s="349"/>
      <c r="AN43" s="283"/>
      <c r="AO43" s="289"/>
      <c r="AP43" s="289"/>
      <c r="AQ43" s="289"/>
      <c r="AR43" s="289"/>
      <c r="AS43" s="289"/>
      <c r="AT43" s="289"/>
      <c r="AU43" s="283"/>
      <c r="AV43" s="283"/>
    </row>
    <row r="44" spans="2:48" x14ac:dyDescent="0.25">
      <c r="B44" s="82"/>
      <c r="C44" s="21" t="s">
        <v>145</v>
      </c>
      <c r="D44" s="21" t="str">
        <f>INDEX(Unit_Rates!$C$7:$K$116,MATCH($C44,Unit_Rates!$C$7:$C$116,0),5)</f>
        <v>Subtransmission</v>
      </c>
      <c r="E44" s="21" t="str">
        <f>INDEX(Unit_Rates!$C$7:$K$116,MATCH($C44,Unit_Rates!$C$7:$C$116,0),6)</f>
        <v>Augmentation</v>
      </c>
      <c r="F44" s="21" t="str">
        <f t="shared" si="5"/>
        <v>SubtransmissionAugmentation</v>
      </c>
      <c r="G44" s="167">
        <f>INDEX(Unit_Rates!$C$7:$K$116,MATCH($C44,Unit_Rates!$C$7:$C$116,0),7)</f>
        <v>0.61999999999999977</v>
      </c>
      <c r="H44" s="168">
        <v>2</v>
      </c>
      <c r="I44" s="120" t="s">
        <v>278</v>
      </c>
      <c r="J44" s="162"/>
      <c r="K44" s="169">
        <f t="shared" si="24"/>
        <v>1.2399999999999995</v>
      </c>
      <c r="L44" s="170">
        <f t="shared" si="3"/>
        <v>0</v>
      </c>
      <c r="M44" s="171"/>
      <c r="N44" s="363"/>
      <c r="O44" s="363"/>
      <c r="P44" s="364"/>
      <c r="Q44" s="250">
        <f>P44-H44*VLOOKUP(C44,Unit_Rates!$C$7:$E$116,3,FALSE)</f>
        <v>0</v>
      </c>
      <c r="R44" s="131">
        <v>0</v>
      </c>
      <c r="S44" s="131">
        <v>0</v>
      </c>
      <c r="T44" s="131">
        <v>0</v>
      </c>
      <c r="U44" s="131">
        <v>0</v>
      </c>
      <c r="V44" s="131">
        <v>0</v>
      </c>
      <c r="W44" s="131">
        <v>0</v>
      </c>
      <c r="X44" s="131">
        <v>0</v>
      </c>
      <c r="Y44" s="241">
        <f t="shared" si="4"/>
        <v>0</v>
      </c>
      <c r="AK44" s="283"/>
      <c r="AL44" s="283"/>
      <c r="AM44" s="349"/>
      <c r="AN44" s="283"/>
      <c r="AO44" s="289"/>
      <c r="AP44" s="289"/>
      <c r="AQ44" s="289"/>
      <c r="AR44" s="289"/>
      <c r="AS44" s="289"/>
      <c r="AT44" s="289"/>
      <c r="AU44" s="283"/>
      <c r="AV44" s="283"/>
    </row>
    <row r="45" spans="2:48" x14ac:dyDescent="0.25">
      <c r="B45" s="82"/>
      <c r="C45" s="21" t="s">
        <v>165</v>
      </c>
      <c r="D45" s="21" t="str">
        <f>INDEX(Unit_Rates!$C$7:$K$116,MATCH($C45,Unit_Rates!$C$7:$C$116,0),5)</f>
        <v>Subtransmission</v>
      </c>
      <c r="E45" s="21" t="str">
        <f>INDEX(Unit_Rates!$C$7:$K$116,MATCH($C45,Unit_Rates!$C$7:$C$116,0),6)</f>
        <v>Augmentation</v>
      </c>
      <c r="F45" s="21" t="str">
        <f t="shared" si="5"/>
        <v>SubtransmissionAugmentation</v>
      </c>
      <c r="G45" s="167">
        <f>INDEX(Unit_Rates!$C$7:$K$116,MATCH($C45,Unit_Rates!$C$7:$C$116,0),7)</f>
        <v>0</v>
      </c>
      <c r="H45" s="168">
        <v>2</v>
      </c>
      <c r="I45" s="120" t="s">
        <v>278</v>
      </c>
      <c r="J45" s="162"/>
      <c r="K45" s="169">
        <f t="shared" si="24"/>
        <v>0</v>
      </c>
      <c r="L45" s="170">
        <f t="shared" si="3"/>
        <v>0</v>
      </c>
      <c r="M45" s="171"/>
      <c r="N45" s="363"/>
      <c r="O45" s="363"/>
      <c r="P45" s="364"/>
      <c r="Q45" s="250">
        <f>P45-H45*VLOOKUP(C45,Unit_Rates!$C$7:$E$116,3,FALSE)</f>
        <v>0</v>
      </c>
      <c r="R45" s="131">
        <v>0</v>
      </c>
      <c r="S45" s="131">
        <v>0</v>
      </c>
      <c r="T45" s="131">
        <v>0</v>
      </c>
      <c r="U45" s="131">
        <v>0</v>
      </c>
      <c r="V45" s="131">
        <v>0</v>
      </c>
      <c r="W45" s="131">
        <v>0</v>
      </c>
      <c r="X45" s="131">
        <v>0</v>
      </c>
      <c r="Y45" s="241">
        <f t="shared" si="4"/>
        <v>0</v>
      </c>
      <c r="AK45" s="283"/>
      <c r="AL45" s="283"/>
      <c r="AM45" s="349"/>
      <c r="AN45" s="283"/>
      <c r="AO45" s="289"/>
      <c r="AP45" s="289"/>
      <c r="AQ45" s="289"/>
      <c r="AR45" s="289"/>
      <c r="AS45" s="289"/>
      <c r="AT45" s="289"/>
      <c r="AU45" s="283"/>
      <c r="AV45" s="283"/>
    </row>
    <row r="46" spans="2:48" x14ac:dyDescent="0.25">
      <c r="B46" s="82"/>
      <c r="C46" s="21" t="s">
        <v>147</v>
      </c>
      <c r="D46" s="21" t="str">
        <f>INDEX(Unit_Rates!$C$7:$K$116,MATCH($C46,Unit_Rates!$C$7:$C$116,0),5)</f>
        <v>Subtransmission</v>
      </c>
      <c r="E46" s="21" t="str">
        <f>INDEX(Unit_Rates!$C$7:$K$116,MATCH($C46,Unit_Rates!$C$7:$C$116,0),6)</f>
        <v>Augmentation</v>
      </c>
      <c r="F46" s="21" t="str">
        <f t="shared" si="5"/>
        <v>SubtransmissionAugmentation</v>
      </c>
      <c r="G46" s="167">
        <f>INDEX(Unit_Rates!$C$7:$K$116,MATCH($C46,Unit_Rates!$C$7:$C$116,0),7)</f>
        <v>93.853999999999985</v>
      </c>
      <c r="H46" s="168"/>
      <c r="I46" s="120" t="s">
        <v>278</v>
      </c>
      <c r="J46" s="162"/>
      <c r="K46" s="169">
        <f t="shared" si="24"/>
        <v>0</v>
      </c>
      <c r="L46" s="170">
        <f t="shared" si="3"/>
        <v>0</v>
      </c>
      <c r="M46" s="171"/>
      <c r="N46" s="363"/>
      <c r="O46" s="363"/>
      <c r="P46" s="364"/>
      <c r="Q46" s="250">
        <f>P46-H46*VLOOKUP(C46,Unit_Rates!$C$7:$E$116,3,FALSE)</f>
        <v>0</v>
      </c>
      <c r="R46" s="131">
        <v>0</v>
      </c>
      <c r="S46" s="131">
        <v>0</v>
      </c>
      <c r="T46" s="131">
        <v>0</v>
      </c>
      <c r="U46" s="131">
        <v>0</v>
      </c>
      <c r="V46" s="131">
        <v>0</v>
      </c>
      <c r="W46" s="131">
        <v>0</v>
      </c>
      <c r="X46" s="131">
        <v>0</v>
      </c>
      <c r="Y46" s="241">
        <f t="shared" si="4"/>
        <v>0</v>
      </c>
      <c r="AK46" s="283"/>
      <c r="AL46" s="283"/>
      <c r="AM46" s="349"/>
      <c r="AN46" s="283"/>
      <c r="AO46" s="289"/>
      <c r="AP46" s="289"/>
      <c r="AQ46" s="289"/>
      <c r="AR46" s="289"/>
      <c r="AS46" s="289"/>
      <c r="AT46" s="289"/>
      <c r="AU46" s="283"/>
      <c r="AV46" s="283"/>
    </row>
    <row r="47" spans="2:48" x14ac:dyDescent="0.25">
      <c r="B47" s="82"/>
      <c r="C47" s="21" t="s">
        <v>377</v>
      </c>
      <c r="D47" s="21" t="str">
        <f>INDEX(Unit_Rates!$C$7:$K$116,MATCH($C47,Unit_Rates!$C$7:$C$116,0),5)</f>
        <v>Subtransmission</v>
      </c>
      <c r="E47" s="21" t="str">
        <f>INDEX(Unit_Rates!$C$7:$K$116,MATCH($C47,Unit_Rates!$C$7:$C$116,0),6)</f>
        <v>Augmentation</v>
      </c>
      <c r="F47" s="21" t="str">
        <f t="shared" si="5"/>
        <v>SubtransmissionAugmentation</v>
      </c>
      <c r="G47" s="167">
        <f>INDEX(Unit_Rates!$C$7:$K$116,MATCH($C47,Unit_Rates!$C$7:$C$116,0),7)</f>
        <v>109.17591463414668</v>
      </c>
      <c r="H47" s="168">
        <v>2</v>
      </c>
      <c r="I47" s="120" t="s">
        <v>278</v>
      </c>
      <c r="J47" s="162"/>
      <c r="K47" s="169">
        <f t="shared" si="24"/>
        <v>218.35182926829336</v>
      </c>
      <c r="L47" s="170">
        <f t="shared" si="3"/>
        <v>0</v>
      </c>
      <c r="M47" s="171"/>
      <c r="N47" s="363"/>
      <c r="O47" s="363"/>
      <c r="P47" s="364"/>
      <c r="Q47" s="250">
        <f>P47-H47*VLOOKUP(C47,Unit_Rates!$C$7:$E$116,3,FALSE)</f>
        <v>0</v>
      </c>
      <c r="R47" s="131">
        <v>0</v>
      </c>
      <c r="S47" s="131">
        <v>0</v>
      </c>
      <c r="T47" s="131">
        <v>0</v>
      </c>
      <c r="U47" s="131">
        <v>0</v>
      </c>
      <c r="V47" s="131">
        <v>0</v>
      </c>
      <c r="W47" s="131">
        <v>0</v>
      </c>
      <c r="X47" s="131">
        <v>0</v>
      </c>
      <c r="Y47" s="241">
        <f t="shared" si="4"/>
        <v>0</v>
      </c>
      <c r="AK47" s="283"/>
      <c r="AL47" s="283"/>
      <c r="AM47" s="349"/>
      <c r="AN47" s="283"/>
      <c r="AO47" s="289"/>
      <c r="AP47" s="289"/>
      <c r="AQ47" s="289"/>
      <c r="AR47" s="289"/>
      <c r="AS47" s="289"/>
      <c r="AT47" s="289"/>
      <c r="AU47" s="283"/>
      <c r="AV47" s="283"/>
    </row>
    <row r="48" spans="2:48" x14ac:dyDescent="0.25">
      <c r="B48" s="82"/>
      <c r="C48" s="21" t="s">
        <v>153</v>
      </c>
      <c r="D48" s="21" t="str">
        <f>INDEX(Unit_Rates!$C$7:$K$116,MATCH($C48,Unit_Rates!$C$7:$C$116,0),5)</f>
        <v>Subtransmission</v>
      </c>
      <c r="E48" s="21" t="str">
        <f>INDEX(Unit_Rates!$C$7:$K$116,MATCH($C48,Unit_Rates!$C$7:$C$116,0),6)</f>
        <v>Augmentation</v>
      </c>
      <c r="F48" s="21" t="str">
        <f t="shared" si="5"/>
        <v>SubtransmissionAugmentation</v>
      </c>
      <c r="G48" s="167">
        <f>INDEX(Unit_Rates!$C$7:$K$116,MATCH($C48,Unit_Rates!$C$7:$C$116,0),7)</f>
        <v>227.62999999999997</v>
      </c>
      <c r="H48" s="168"/>
      <c r="I48" s="120" t="s">
        <v>278</v>
      </c>
      <c r="J48" s="162"/>
      <c r="K48" s="169">
        <f t="shared" si="24"/>
        <v>0</v>
      </c>
      <c r="L48" s="170">
        <f t="shared" si="3"/>
        <v>0</v>
      </c>
      <c r="M48" s="171"/>
      <c r="N48" s="363"/>
      <c r="O48" s="363"/>
      <c r="P48" s="364"/>
      <c r="Q48" s="250">
        <f>P48-H48*VLOOKUP(C48,Unit_Rates!$C$7:$E$116,3,FALSE)</f>
        <v>0</v>
      </c>
      <c r="R48" s="131">
        <v>0</v>
      </c>
      <c r="S48" s="131">
        <v>0</v>
      </c>
      <c r="T48" s="131">
        <v>0</v>
      </c>
      <c r="U48" s="131">
        <v>0</v>
      </c>
      <c r="V48" s="131">
        <v>0</v>
      </c>
      <c r="W48" s="131">
        <v>0</v>
      </c>
      <c r="X48" s="131">
        <v>0</v>
      </c>
      <c r="Y48" s="241">
        <f t="shared" si="4"/>
        <v>0</v>
      </c>
      <c r="AK48" s="283"/>
      <c r="AL48" s="283"/>
      <c r="AM48" s="283"/>
      <c r="AN48" s="283"/>
      <c r="AO48" s="289"/>
      <c r="AP48" s="289"/>
      <c r="AQ48" s="289"/>
      <c r="AR48" s="289"/>
      <c r="AS48" s="289"/>
      <c r="AT48" s="289"/>
      <c r="AU48" s="283"/>
      <c r="AV48" s="283"/>
    </row>
    <row r="49" spans="2:48" x14ac:dyDescent="0.25">
      <c r="B49" s="82"/>
      <c r="C49" s="21" t="s">
        <v>157</v>
      </c>
      <c r="D49" s="21" t="str">
        <f>INDEX(Unit_Rates!$C$7:$K$116,MATCH($C49,Unit_Rates!$C$7:$C$116,0),5)</f>
        <v>Subtransmission</v>
      </c>
      <c r="E49" s="21" t="str">
        <f>INDEX(Unit_Rates!$C$7:$K$116,MATCH($C49,Unit_Rates!$C$7:$C$116,0),6)</f>
        <v>Augmentation</v>
      </c>
      <c r="F49" s="21" t="str">
        <f t="shared" si="5"/>
        <v>SubtransmissionAugmentation</v>
      </c>
      <c r="G49" s="167">
        <f>INDEX(Unit_Rates!$C$7:$K$116,MATCH($C49,Unit_Rates!$C$7:$C$116,0),7)</f>
        <v>369.03899999999987</v>
      </c>
      <c r="H49" s="168"/>
      <c r="I49" s="120" t="s">
        <v>278</v>
      </c>
      <c r="J49" s="162"/>
      <c r="K49" s="169">
        <f t="shared" si="24"/>
        <v>0</v>
      </c>
      <c r="L49" s="170">
        <f t="shared" si="3"/>
        <v>0</v>
      </c>
      <c r="M49" s="171"/>
      <c r="N49" s="363"/>
      <c r="O49" s="363"/>
      <c r="P49" s="364"/>
      <c r="Q49" s="250">
        <f>P49-H49*VLOOKUP(C49,Unit_Rates!$C$7:$E$116,3,FALSE)</f>
        <v>0</v>
      </c>
      <c r="R49" s="131">
        <v>0</v>
      </c>
      <c r="S49" s="131">
        <v>0</v>
      </c>
      <c r="T49" s="131">
        <v>0</v>
      </c>
      <c r="U49" s="131">
        <v>0</v>
      </c>
      <c r="V49" s="131">
        <v>0</v>
      </c>
      <c r="W49" s="131">
        <v>0</v>
      </c>
      <c r="X49" s="131">
        <v>0</v>
      </c>
      <c r="Y49" s="241">
        <f t="shared" si="4"/>
        <v>0</v>
      </c>
      <c r="AK49" s="283"/>
      <c r="AL49" s="349"/>
      <c r="AM49" s="283"/>
      <c r="AN49" s="283"/>
      <c r="AO49" s="289"/>
      <c r="AP49" s="289"/>
      <c r="AQ49" s="289"/>
      <c r="AR49" s="289"/>
      <c r="AS49" s="289"/>
      <c r="AT49" s="289"/>
      <c r="AU49" s="283"/>
      <c r="AV49" s="283"/>
    </row>
    <row r="50" spans="2:48" x14ac:dyDescent="0.25">
      <c r="B50" s="82"/>
      <c r="C50" s="21" t="s">
        <v>159</v>
      </c>
      <c r="D50" s="21" t="str">
        <f>INDEX(Unit_Rates!$C$7:$K$116,MATCH($C50,Unit_Rates!$C$7:$C$116,0),5)</f>
        <v>Subtransmission</v>
      </c>
      <c r="E50" s="21" t="str">
        <f>INDEX(Unit_Rates!$C$7:$K$116,MATCH($C50,Unit_Rates!$C$7:$C$116,0),6)</f>
        <v>Augmentation</v>
      </c>
      <c r="F50" s="21" t="str">
        <f t="shared" si="5"/>
        <v>SubtransmissionAugmentation</v>
      </c>
      <c r="G50" s="167">
        <v>0.13828947700571428</v>
      </c>
      <c r="H50" s="168">
        <f>AN52</f>
        <v>0</v>
      </c>
      <c r="I50" s="120" t="s">
        <v>279</v>
      </c>
      <c r="J50" s="162"/>
      <c r="K50" s="169">
        <f t="shared" si="24"/>
        <v>0</v>
      </c>
      <c r="L50" s="170">
        <f t="shared" si="3"/>
        <v>0</v>
      </c>
      <c r="M50" s="171"/>
      <c r="N50" s="363"/>
      <c r="O50" s="363"/>
      <c r="P50" s="364"/>
      <c r="Q50" s="149"/>
      <c r="R50" s="131">
        <v>0</v>
      </c>
      <c r="S50" s="131">
        <v>0</v>
      </c>
      <c r="T50" s="131">
        <v>0</v>
      </c>
      <c r="U50" s="131">
        <v>0</v>
      </c>
      <c r="V50" s="131">
        <v>0</v>
      </c>
      <c r="W50" s="131">
        <v>0</v>
      </c>
      <c r="X50" s="131">
        <v>0</v>
      </c>
      <c r="Y50" s="241">
        <f t="shared" si="4"/>
        <v>0</v>
      </c>
      <c r="AK50" s="283"/>
      <c r="AL50" s="283"/>
      <c r="AM50" s="283"/>
      <c r="AN50" s="283"/>
      <c r="AO50" s="289"/>
      <c r="AP50" s="289"/>
      <c r="AQ50" s="289"/>
      <c r="AR50" s="289"/>
      <c r="AS50" s="289"/>
      <c r="AT50" s="289"/>
      <c r="AU50" s="283"/>
      <c r="AV50" s="283"/>
    </row>
    <row r="51" spans="2:48" x14ac:dyDescent="0.25">
      <c r="B51" s="82"/>
      <c r="C51" s="21" t="s">
        <v>163</v>
      </c>
      <c r="D51" s="21" t="str">
        <f>INDEX(Unit_Rates!$C$7:$K$116,MATCH($C51,Unit_Rates!$C$7:$C$116,0),5)</f>
        <v>Subtransmission</v>
      </c>
      <c r="E51" s="21" t="str">
        <f>INDEX(Unit_Rates!$C$7:$K$116,MATCH($C51,Unit_Rates!$C$7:$C$116,0),6)</f>
        <v>Augmentation</v>
      </c>
      <c r="F51" s="21" t="str">
        <f t="shared" si="5"/>
        <v>SubtransmissionAugmentation</v>
      </c>
      <c r="G51" s="176">
        <f>INDEX(Unit_Rates!$C$7:$K$116,MATCH($C51,Unit_Rates!$C$7:$C$116,0),7)</f>
        <v>4.9999999999999996E-2</v>
      </c>
      <c r="H51" s="168"/>
      <c r="I51" s="120" t="s">
        <v>279</v>
      </c>
      <c r="J51" s="162"/>
      <c r="K51" s="169">
        <f t="shared" si="24"/>
        <v>0</v>
      </c>
      <c r="L51" s="170">
        <f t="shared" si="3"/>
        <v>0</v>
      </c>
      <c r="M51" s="171"/>
      <c r="N51" s="363"/>
      <c r="O51" s="363"/>
      <c r="P51" s="364"/>
      <c r="Q51" s="250">
        <f>P51-H51*VLOOKUP(C51,Unit_Rates!$C$7:$E$116,3,FALSE)</f>
        <v>0</v>
      </c>
      <c r="R51" s="131">
        <v>0</v>
      </c>
      <c r="S51" s="131">
        <v>0</v>
      </c>
      <c r="T51" s="131">
        <v>0</v>
      </c>
      <c r="U51" s="131">
        <v>0</v>
      </c>
      <c r="V51" s="131">
        <v>0</v>
      </c>
      <c r="W51" s="131">
        <v>0</v>
      </c>
      <c r="X51" s="131">
        <v>0</v>
      </c>
      <c r="Y51" s="241">
        <f t="shared" si="4"/>
        <v>0</v>
      </c>
      <c r="AK51" s="283"/>
      <c r="AL51" s="348"/>
      <c r="AM51" s="348"/>
      <c r="AN51" s="348"/>
      <c r="AO51" s="289"/>
      <c r="AP51" s="289"/>
      <c r="AQ51" s="289"/>
      <c r="AR51" s="289"/>
      <c r="AS51" s="289"/>
      <c r="AT51" s="289"/>
      <c r="AU51" s="254"/>
      <c r="AV51" s="283"/>
    </row>
    <row r="52" spans="2:48" x14ac:dyDescent="0.25">
      <c r="B52" s="82"/>
      <c r="C52" s="21" t="s">
        <v>23</v>
      </c>
      <c r="D52" t="s">
        <v>3</v>
      </c>
      <c r="E52" t="s">
        <v>25</v>
      </c>
      <c r="F52" s="21" t="str">
        <f t="shared" si="5"/>
        <v>SubtransmissionAugmentation</v>
      </c>
      <c r="G52" s="167">
        <v>0</v>
      </c>
      <c r="H52" s="168"/>
      <c r="I52" s="120" t="s">
        <v>278</v>
      </c>
      <c r="J52" s="162"/>
      <c r="K52" s="169">
        <f t="shared" si="24"/>
        <v>0</v>
      </c>
      <c r="L52" s="170">
        <f t="shared" si="3"/>
        <v>0</v>
      </c>
      <c r="M52" s="171"/>
      <c r="N52" s="363"/>
      <c r="O52" s="365"/>
      <c r="P52" s="364"/>
      <c r="Q52" s="149"/>
      <c r="R52" s="131">
        <v>0</v>
      </c>
      <c r="S52" s="131">
        <v>0</v>
      </c>
      <c r="T52" s="131">
        <v>0</v>
      </c>
      <c r="U52" s="131">
        <v>0</v>
      </c>
      <c r="V52" s="131">
        <v>0</v>
      </c>
      <c r="W52" s="131">
        <v>0</v>
      </c>
      <c r="X52" s="131">
        <v>0</v>
      </c>
      <c r="Y52" s="241">
        <f t="shared" si="4"/>
        <v>0</v>
      </c>
      <c r="AK52" s="283"/>
      <c r="AL52" s="283"/>
      <c r="AM52" s="283"/>
      <c r="AN52" s="283"/>
      <c r="AO52" s="289"/>
      <c r="AP52" s="289"/>
      <c r="AQ52" s="289"/>
      <c r="AR52" s="289"/>
      <c r="AS52" s="289"/>
      <c r="AT52" s="289"/>
      <c r="AU52" s="283"/>
      <c r="AV52" s="283"/>
    </row>
    <row r="53" spans="2:48" x14ac:dyDescent="0.25">
      <c r="B53" s="82"/>
      <c r="C53" s="21" t="s">
        <v>298</v>
      </c>
      <c r="D53" s="21" t="str">
        <f>INDEX(Unit_Rates!$C$7:$K$116,MATCH($C53,Unit_Rates!$C$7:$C$116,0),5)</f>
        <v>Subtransmission</v>
      </c>
      <c r="E53" s="21" t="str">
        <f>INDEX(Unit_Rates!$C$7:$K$116,MATCH($C53,Unit_Rates!$C$7:$C$116,0),6)</f>
        <v>Augmentation</v>
      </c>
      <c r="F53" s="21" t="str">
        <f t="shared" si="5"/>
        <v>SubtransmissionAugmentation</v>
      </c>
      <c r="G53" s="167">
        <f>INDEX(Unit_Rates!$C$7:$K$116,MATCH($C53,Unit_Rates!$C$7:$C$116,0),7)</f>
        <v>465.78000000000003</v>
      </c>
      <c r="H53" s="168"/>
      <c r="I53" s="120" t="s">
        <v>278</v>
      </c>
      <c r="J53" s="162"/>
      <c r="K53" s="169">
        <f t="shared" si="24"/>
        <v>0</v>
      </c>
      <c r="L53" s="170">
        <f t="shared" si="3"/>
        <v>0</v>
      </c>
      <c r="M53" s="171"/>
      <c r="N53" s="363"/>
      <c r="O53" s="363"/>
      <c r="P53" s="364"/>
      <c r="Q53" s="250">
        <f>P53-H53*VLOOKUP(C53,Unit_Rates!$C$7:$E$116,3,FALSE)</f>
        <v>0</v>
      </c>
      <c r="R53" s="131">
        <v>0</v>
      </c>
      <c r="S53" s="131">
        <v>0</v>
      </c>
      <c r="T53" s="131">
        <v>0</v>
      </c>
      <c r="U53" s="131">
        <v>0</v>
      </c>
      <c r="V53" s="131">
        <v>0</v>
      </c>
      <c r="W53" s="131">
        <v>0</v>
      </c>
      <c r="X53" s="131">
        <v>0</v>
      </c>
      <c r="Y53" s="241">
        <f t="shared" si="4"/>
        <v>0</v>
      </c>
      <c r="AK53" s="283"/>
      <c r="AL53" s="283"/>
      <c r="AM53" s="283"/>
      <c r="AN53" s="283"/>
      <c r="AO53" s="289"/>
      <c r="AP53" s="289"/>
      <c r="AQ53" s="289"/>
      <c r="AR53" s="289"/>
      <c r="AS53" s="289"/>
      <c r="AT53" s="289"/>
      <c r="AU53" s="283"/>
      <c r="AV53" s="283"/>
    </row>
    <row r="54" spans="2:48" x14ac:dyDescent="0.25">
      <c r="B54" s="82"/>
      <c r="C54" s="21" t="s">
        <v>169</v>
      </c>
      <c r="D54" s="21" t="str">
        <f>INDEX(Unit_Rates!$C$7:$K$116,MATCH($C54,Unit_Rates!$C$7:$C$116,0),5)</f>
        <v>Subtransmission</v>
      </c>
      <c r="E54" s="21" t="str">
        <f>INDEX(Unit_Rates!$C$7:$K$116,MATCH($C54,Unit_Rates!$C$7:$C$116,0),6)</f>
        <v>Augmentation</v>
      </c>
      <c r="F54" s="21" t="str">
        <f t="shared" si="5"/>
        <v>SubtransmissionAugmentation</v>
      </c>
      <c r="G54" s="167">
        <f>INDEX(Unit_Rates!$C$7:$K$116,MATCH($C54,Unit_Rates!$C$7:$C$116,0),7)</f>
        <v>0</v>
      </c>
      <c r="H54" s="168"/>
      <c r="I54" s="120" t="s">
        <v>278</v>
      </c>
      <c r="J54" s="162"/>
      <c r="K54" s="169">
        <v>0</v>
      </c>
      <c r="L54" s="170">
        <f t="shared" si="3"/>
        <v>0</v>
      </c>
      <c r="M54" s="171"/>
      <c r="N54" s="363"/>
      <c r="O54" s="363"/>
      <c r="P54" s="364"/>
      <c r="Q54" s="250">
        <f>P54-H54*VLOOKUP(C54,Unit_Rates!$C$7:$E$116,3,FALSE)</f>
        <v>0</v>
      </c>
      <c r="R54" s="131">
        <v>0</v>
      </c>
      <c r="S54" s="131">
        <v>0</v>
      </c>
      <c r="T54" s="131">
        <v>0</v>
      </c>
      <c r="U54" s="131">
        <v>0</v>
      </c>
      <c r="V54" s="131">
        <v>0</v>
      </c>
      <c r="W54" s="131">
        <v>0</v>
      </c>
      <c r="X54" s="131">
        <v>0</v>
      </c>
      <c r="Y54" s="241">
        <f t="shared" si="4"/>
        <v>0</v>
      </c>
      <c r="AL54" s="333"/>
      <c r="AM54" s="217"/>
      <c r="AN54" s="217"/>
      <c r="AO54" s="217"/>
      <c r="AP54" s="217"/>
      <c r="AQ54" s="217"/>
      <c r="AR54" s="217"/>
      <c r="AS54" s="217"/>
      <c r="AT54" s="217"/>
      <c r="AU54" s="283"/>
      <c r="AV54" s="283"/>
    </row>
    <row r="55" spans="2:48" x14ac:dyDescent="0.25">
      <c r="B55" s="82"/>
      <c r="G55" s="167"/>
      <c r="H55" s="168"/>
      <c r="I55" s="164"/>
      <c r="J55" s="162"/>
      <c r="K55" s="146"/>
      <c r="L55" s="164"/>
      <c r="M55" s="166"/>
      <c r="N55" s="165"/>
      <c r="O55" s="165"/>
      <c r="P55" s="166"/>
      <c r="Q55" s="149"/>
      <c r="R55" s="184"/>
      <c r="S55" s="184"/>
      <c r="T55" s="184"/>
      <c r="U55" s="184"/>
      <c r="V55" s="184"/>
      <c r="W55" s="184"/>
      <c r="X55" s="184"/>
      <c r="Y55" s="75"/>
      <c r="AL55" s="217"/>
      <c r="AM55" s="217"/>
      <c r="AN55" s="217"/>
      <c r="AO55" s="217"/>
      <c r="AP55" s="217"/>
      <c r="AQ55" s="217"/>
      <c r="AR55" s="217"/>
      <c r="AS55" s="217"/>
      <c r="AT55" s="217"/>
      <c r="AU55" s="283"/>
      <c r="AV55" s="283"/>
    </row>
    <row r="56" spans="2:48" x14ac:dyDescent="0.25">
      <c r="B56" s="117" t="s">
        <v>280</v>
      </c>
      <c r="G56" s="167"/>
      <c r="H56" s="168"/>
      <c r="I56" s="120"/>
      <c r="J56" s="150"/>
      <c r="K56" s="169"/>
      <c r="L56" s="169"/>
      <c r="M56" s="177"/>
      <c r="N56" s="178"/>
      <c r="O56" s="177"/>
      <c r="P56" s="123"/>
      <c r="Q56" s="149"/>
      <c r="R56" s="184"/>
      <c r="S56" s="184"/>
      <c r="T56" s="184"/>
      <c r="U56" s="184"/>
      <c r="V56" s="184"/>
      <c r="W56" s="184"/>
      <c r="X56" s="184"/>
      <c r="Y56" s="75"/>
      <c r="AK56" s="283"/>
      <c r="AL56" s="283"/>
      <c r="AM56" s="283"/>
      <c r="AN56" s="283"/>
      <c r="AO56" s="289"/>
      <c r="AP56" s="289"/>
      <c r="AQ56" s="289"/>
      <c r="AR56" s="289"/>
      <c r="AS56" s="289"/>
      <c r="AT56" s="289"/>
      <c r="AU56" s="283"/>
      <c r="AV56" s="283"/>
    </row>
    <row r="57" spans="2:48" x14ac:dyDescent="0.25">
      <c r="B57" s="82"/>
      <c r="C57" s="21" t="s">
        <v>309</v>
      </c>
      <c r="D57" s="21" t="str">
        <f>INDEX(Unit_Rates!$C$7:$K$116,MATCH($C57,Unit_Rates!$C$7:$C$116,0),5)</f>
        <v>SCADA/Network control</v>
      </c>
      <c r="E57" s="21" t="str">
        <f>INDEX(Unit_Rates!$C$7:$K$116,MATCH($C57,Unit_Rates!$C$7:$C$116,0),6)</f>
        <v>Augmentation</v>
      </c>
      <c r="F57" s="21" t="str">
        <f t="shared" ref="F57:F70" si="25">D57&amp;E57</f>
        <v>SCADA/Network controlAugmentation</v>
      </c>
      <c r="G57" s="167">
        <f>INDEX(Unit_Rates!$C$7:$K$116,MATCH($C57,Unit_Rates!$C$7:$C$116,0),7)</f>
        <v>76.729563200000001</v>
      </c>
      <c r="H57" s="168"/>
      <c r="I57" s="120" t="s">
        <v>278</v>
      </c>
      <c r="J57" s="162"/>
      <c r="K57" s="169">
        <f>G57*H57</f>
        <v>0</v>
      </c>
      <c r="L57" s="169">
        <f t="shared" ref="L57:L70" si="26">SUMPRODUCT(R$5:X$5,R57:X57)/Thousands</f>
        <v>0</v>
      </c>
      <c r="M57" s="148"/>
      <c r="N57" s="363"/>
      <c r="O57" s="363"/>
      <c r="P57" s="364"/>
      <c r="Q57" s="250">
        <f>P57-H57*VLOOKUP(C57,Unit_Rates!$C$7:$E$116,3,FALSE)</f>
        <v>0</v>
      </c>
      <c r="R57" s="131">
        <v>0</v>
      </c>
      <c r="S57" s="131">
        <v>0</v>
      </c>
      <c r="T57" s="131">
        <v>0</v>
      </c>
      <c r="U57" s="131">
        <v>0</v>
      </c>
      <c r="V57" s="131">
        <v>0</v>
      </c>
      <c r="W57" s="131">
        <v>0</v>
      </c>
      <c r="X57" s="131">
        <v>0</v>
      </c>
      <c r="Y57" s="241">
        <f t="shared" ref="Y57:Y70" si="27">SUM(R57:X57)</f>
        <v>0</v>
      </c>
      <c r="AK57" s="283"/>
      <c r="AL57" s="349"/>
      <c r="AM57" s="283"/>
      <c r="AN57" s="283"/>
      <c r="AO57" s="289"/>
      <c r="AP57" s="289"/>
      <c r="AQ57" s="289"/>
      <c r="AR57" s="289"/>
      <c r="AS57" s="289"/>
      <c r="AT57" s="289"/>
      <c r="AU57" s="283"/>
      <c r="AV57" s="283"/>
    </row>
    <row r="58" spans="2:48" x14ac:dyDescent="0.25">
      <c r="B58" s="82"/>
      <c r="C58" s="21" t="s">
        <v>310</v>
      </c>
      <c r="D58" s="21" t="str">
        <f>INDEX(Unit_Rates!$C$7:$K$116,MATCH($C58,Unit_Rates!$C$7:$C$116,0),5)</f>
        <v>SCADA/Network control</v>
      </c>
      <c r="E58" s="21" t="str">
        <f>INDEX(Unit_Rates!$C$7:$K$116,MATCH($C58,Unit_Rates!$C$7:$C$116,0),6)</f>
        <v>Augmentation</v>
      </c>
      <c r="F58" s="21" t="str">
        <f t="shared" si="25"/>
        <v>SCADA/Network controlAugmentation</v>
      </c>
      <c r="G58" s="167">
        <f>INDEX(Unit_Rates!$C$7:$K$116,MATCH($C58,Unit_Rates!$C$7:$C$116,0),7)</f>
        <v>223.65781870000001</v>
      </c>
      <c r="H58" s="168"/>
      <c r="I58" s="120" t="s">
        <v>278</v>
      </c>
      <c r="J58" s="162"/>
      <c r="K58" s="169">
        <f>G58*H58</f>
        <v>0</v>
      </c>
      <c r="L58" s="169">
        <f t="shared" si="26"/>
        <v>0</v>
      </c>
      <c r="M58" s="148"/>
      <c r="N58" s="363"/>
      <c r="O58" s="363"/>
      <c r="P58" s="364"/>
      <c r="Q58" s="250">
        <f>P58-H58*VLOOKUP(C58,Unit_Rates!$C$7:$E$116,3,FALSE)</f>
        <v>0</v>
      </c>
      <c r="R58" s="131">
        <v>0</v>
      </c>
      <c r="S58" s="131">
        <v>0</v>
      </c>
      <c r="T58" s="131">
        <v>0</v>
      </c>
      <c r="U58" s="131">
        <v>0</v>
      </c>
      <c r="V58" s="131">
        <v>0</v>
      </c>
      <c r="W58" s="131">
        <v>0</v>
      </c>
      <c r="X58" s="131">
        <v>0</v>
      </c>
      <c r="Y58" s="241">
        <f t="shared" si="27"/>
        <v>0</v>
      </c>
      <c r="AK58" s="283"/>
      <c r="AL58" s="283"/>
      <c r="AM58" s="283"/>
      <c r="AN58" s="283"/>
      <c r="AO58" s="289"/>
      <c r="AP58" s="289"/>
      <c r="AQ58" s="289"/>
      <c r="AR58" s="289"/>
      <c r="AS58" s="289"/>
      <c r="AT58" s="289"/>
      <c r="AU58" s="283"/>
      <c r="AV58" s="283"/>
    </row>
    <row r="59" spans="2:48" x14ac:dyDescent="0.25">
      <c r="B59" s="82"/>
      <c r="C59" s="21" t="s">
        <v>311</v>
      </c>
      <c r="D59" s="21" t="str">
        <f>INDEX(Unit_Rates!$C$7:$K$116,MATCH($C59,Unit_Rates!$C$7:$C$116,0),5)</f>
        <v>SCADA/Network control</v>
      </c>
      <c r="E59" s="21" t="str">
        <f>INDEX(Unit_Rates!$C$7:$K$116,MATCH($C59,Unit_Rates!$C$7:$C$116,0),6)</f>
        <v>Augmentation</v>
      </c>
      <c r="F59" s="21" t="str">
        <f t="shared" si="25"/>
        <v>SCADA/Network controlAugmentation</v>
      </c>
      <c r="G59" s="167">
        <f>INDEX(Unit_Rates!$C$7:$K$116,MATCH($C59,Unit_Rates!$C$7:$C$116,0),7)</f>
        <v>252.11545104999999</v>
      </c>
      <c r="H59" s="168"/>
      <c r="I59" s="120" t="s">
        <v>278</v>
      </c>
      <c r="J59" s="162"/>
      <c r="K59" s="169">
        <f t="shared" ref="K59:K66" si="28">G59*H59</f>
        <v>0</v>
      </c>
      <c r="L59" s="169">
        <f t="shared" si="26"/>
        <v>0</v>
      </c>
      <c r="M59" s="148"/>
      <c r="N59" s="363"/>
      <c r="O59" s="363"/>
      <c r="P59" s="364"/>
      <c r="Q59" s="250">
        <f>P59-H59*VLOOKUP(C59,Unit_Rates!$C$7:$E$116,3,FALSE)</f>
        <v>0</v>
      </c>
      <c r="R59" s="131">
        <v>0</v>
      </c>
      <c r="S59" s="131">
        <v>0</v>
      </c>
      <c r="T59" s="131">
        <v>0</v>
      </c>
      <c r="U59" s="131">
        <v>0</v>
      </c>
      <c r="V59" s="131">
        <v>0</v>
      </c>
      <c r="W59" s="131">
        <v>0</v>
      </c>
      <c r="X59" s="131">
        <v>0</v>
      </c>
      <c r="Y59" s="241">
        <f t="shared" si="27"/>
        <v>0</v>
      </c>
      <c r="AK59" s="283"/>
      <c r="AL59" s="283"/>
      <c r="AM59" s="283"/>
      <c r="AN59" s="283"/>
      <c r="AO59" s="289"/>
      <c r="AP59" s="289"/>
      <c r="AQ59" s="289"/>
      <c r="AR59" s="289"/>
      <c r="AS59" s="289"/>
      <c r="AT59" s="289"/>
      <c r="AU59" s="283"/>
      <c r="AV59" s="283"/>
    </row>
    <row r="60" spans="2:48" x14ac:dyDescent="0.25">
      <c r="B60" s="82"/>
      <c r="C60" s="21" t="s">
        <v>173</v>
      </c>
      <c r="D60" s="21" t="str">
        <f>INDEX(Unit_Rates!$C$7:$K$116,MATCH($C60,Unit_Rates!$C$7:$C$116,0),5)</f>
        <v>SCADA/Network control</v>
      </c>
      <c r="E60" s="21" t="str">
        <f>INDEX(Unit_Rates!$C$7:$K$116,MATCH($C60,Unit_Rates!$C$7:$C$116,0),6)</f>
        <v>Augmentation</v>
      </c>
      <c r="F60" s="21" t="str">
        <f t="shared" si="25"/>
        <v>SCADA/Network controlAugmentation</v>
      </c>
      <c r="G60" s="167">
        <f>INDEX(Unit_Rates!$C$7:$K$116,MATCH($C60,Unit_Rates!$C$7:$C$116,0),7)</f>
        <v>48.982274401473298</v>
      </c>
      <c r="H60" s="168"/>
      <c r="I60" s="120" t="s">
        <v>278</v>
      </c>
      <c r="J60" s="162"/>
      <c r="K60" s="169">
        <f t="shared" si="28"/>
        <v>0</v>
      </c>
      <c r="L60" s="169">
        <f t="shared" si="26"/>
        <v>0</v>
      </c>
      <c r="M60" s="148"/>
      <c r="N60" s="363"/>
      <c r="O60" s="363"/>
      <c r="P60" s="364"/>
      <c r="Q60" s="250">
        <f>P60-H60*VLOOKUP(C60,Unit_Rates!$C$7:$E$116,3,FALSE)</f>
        <v>0</v>
      </c>
      <c r="R60" s="131">
        <v>0</v>
      </c>
      <c r="S60" s="131">
        <v>0</v>
      </c>
      <c r="T60" s="131">
        <v>0</v>
      </c>
      <c r="U60" s="131">
        <v>0</v>
      </c>
      <c r="V60" s="131">
        <v>0</v>
      </c>
      <c r="W60" s="131">
        <v>0</v>
      </c>
      <c r="X60" s="131">
        <v>0</v>
      </c>
      <c r="Y60" s="241">
        <f t="shared" si="27"/>
        <v>0</v>
      </c>
      <c r="AK60" s="283"/>
      <c r="AL60" s="283"/>
      <c r="AM60" s="283"/>
      <c r="AN60" s="283"/>
      <c r="AO60" s="289"/>
      <c r="AP60" s="289"/>
      <c r="AQ60" s="289"/>
      <c r="AR60" s="289"/>
      <c r="AS60" s="289"/>
      <c r="AT60" s="289"/>
      <c r="AU60" s="283"/>
      <c r="AV60" s="283"/>
    </row>
    <row r="61" spans="2:48" x14ac:dyDescent="0.25">
      <c r="B61" s="82"/>
      <c r="C61" s="21" t="s">
        <v>176</v>
      </c>
      <c r="D61" s="21" t="str">
        <f>INDEX(Unit_Rates!$C$7:$K$116,MATCH($C61,Unit_Rates!$C$7:$C$116,0),5)</f>
        <v>SCADA/Network control</v>
      </c>
      <c r="E61" s="21" t="str">
        <f>INDEX(Unit_Rates!$C$7:$K$116,MATCH($C61,Unit_Rates!$C$7:$C$116,0),6)</f>
        <v>Augmentation</v>
      </c>
      <c r="F61" s="21" t="str">
        <f t="shared" si="25"/>
        <v>SCADA/Network controlAugmentation</v>
      </c>
      <c r="G61" s="167">
        <f>INDEX(Unit_Rates!$C$7:$K$116,MATCH($C61,Unit_Rates!$C$7:$C$116,0),7)</f>
        <v>6.2430939226519344</v>
      </c>
      <c r="H61" s="168"/>
      <c r="I61" s="120" t="s">
        <v>278</v>
      </c>
      <c r="J61" s="162"/>
      <c r="K61" s="169">
        <f t="shared" si="28"/>
        <v>0</v>
      </c>
      <c r="L61" s="169">
        <f t="shared" si="26"/>
        <v>0</v>
      </c>
      <c r="M61" s="148"/>
      <c r="N61" s="363"/>
      <c r="O61" s="363"/>
      <c r="P61" s="364"/>
      <c r="Q61" s="250">
        <f>P61-H61*VLOOKUP(C61,Unit_Rates!$C$7:$E$116,3,FALSE)</f>
        <v>0</v>
      </c>
      <c r="R61" s="131">
        <v>0</v>
      </c>
      <c r="S61" s="131">
        <v>0</v>
      </c>
      <c r="T61" s="131">
        <v>0</v>
      </c>
      <c r="U61" s="131">
        <v>0</v>
      </c>
      <c r="V61" s="131">
        <v>0</v>
      </c>
      <c r="W61" s="131">
        <v>0</v>
      </c>
      <c r="X61" s="131">
        <v>0</v>
      </c>
      <c r="Y61" s="241">
        <f t="shared" si="27"/>
        <v>0</v>
      </c>
      <c r="AK61" s="283"/>
      <c r="AL61" s="283"/>
      <c r="AM61" s="283"/>
      <c r="AN61" s="283"/>
      <c r="AO61" s="289"/>
      <c r="AP61" s="289"/>
      <c r="AQ61" s="289"/>
      <c r="AR61" s="289"/>
      <c r="AS61" s="289"/>
      <c r="AT61" s="289"/>
      <c r="AU61" s="283"/>
      <c r="AV61" s="283"/>
    </row>
    <row r="62" spans="2:48" x14ac:dyDescent="0.25">
      <c r="B62" s="82"/>
      <c r="C62" s="21" t="s">
        <v>435</v>
      </c>
      <c r="D62" s="21" t="str">
        <f>INDEX(Unit_Rates!$C$7:$K$116,MATCH($C62,Unit_Rates!$C$7:$C$116,0),5)</f>
        <v>SCADA/Network control</v>
      </c>
      <c r="E62" s="21" t="str">
        <f>INDEX(Unit_Rates!$C$7:$K$116,MATCH($C62,Unit_Rates!$C$7:$C$116,0),6)</f>
        <v>Augmentation</v>
      </c>
      <c r="F62" s="21" t="str">
        <f t="shared" ref="F62:F63" si="29">D62&amp;E62</f>
        <v>SCADA/Network controlAugmentation</v>
      </c>
      <c r="G62" s="167">
        <f>INDEX(Unit_Rates!$C$7:$K$116,MATCH($C62,Unit_Rates!$C$7:$C$116,0),7)</f>
        <v>63.471406996986254</v>
      </c>
      <c r="H62" s="168">
        <v>2</v>
      </c>
      <c r="I62" s="120" t="s">
        <v>278</v>
      </c>
      <c r="J62" s="162"/>
      <c r="K62" s="169">
        <f t="shared" ref="K62:K63" si="30">G62*H62</f>
        <v>126.94281399397251</v>
      </c>
      <c r="L62" s="169">
        <f t="shared" ref="L62:L63" si="31">SUMPRODUCT(R$5:X$5,R62:X62)/Thousands</f>
        <v>0</v>
      </c>
      <c r="M62" s="148"/>
      <c r="N62" s="363"/>
      <c r="O62" s="363"/>
      <c r="P62" s="364"/>
      <c r="Q62" s="250">
        <f>P62-H62*VLOOKUP(C62,Unit_Rates!$C$7:$E$116,3,FALSE)</f>
        <v>0</v>
      </c>
      <c r="R62" s="131">
        <v>0</v>
      </c>
      <c r="S62" s="131">
        <v>0</v>
      </c>
      <c r="T62" s="131">
        <v>0</v>
      </c>
      <c r="U62" s="131">
        <v>0</v>
      </c>
      <c r="V62" s="131">
        <v>0</v>
      </c>
      <c r="W62" s="131">
        <v>0</v>
      </c>
      <c r="X62" s="131">
        <v>0</v>
      </c>
      <c r="Y62" s="241">
        <f t="shared" ref="Y62:Y63" si="32">SUM(R62:X62)</f>
        <v>0</v>
      </c>
      <c r="AK62" s="283"/>
      <c r="AL62" s="283"/>
      <c r="AM62" s="283"/>
      <c r="AN62" s="283"/>
      <c r="AO62" s="289"/>
      <c r="AP62" s="289"/>
      <c r="AQ62" s="289"/>
      <c r="AR62" s="289"/>
      <c r="AS62" s="289"/>
      <c r="AT62" s="289"/>
      <c r="AU62" s="283"/>
      <c r="AV62" s="283"/>
    </row>
    <row r="63" spans="2:48" x14ac:dyDescent="0.25">
      <c r="B63" s="82"/>
      <c r="C63" s="21" t="s">
        <v>436</v>
      </c>
      <c r="D63" s="21" t="str">
        <f>INDEX(Unit_Rates!$C$7:$K$116,MATCH($C63,Unit_Rates!$C$7:$C$116,0),5)</f>
        <v>SCADA/Network control</v>
      </c>
      <c r="E63" s="21" t="str">
        <f>INDEX(Unit_Rates!$C$7:$K$116,MATCH($C63,Unit_Rates!$C$7:$C$116,0),6)</f>
        <v>Augmentation</v>
      </c>
      <c r="F63" s="21" t="str">
        <f t="shared" si="29"/>
        <v>SCADA/Network controlAugmentation</v>
      </c>
      <c r="G63" s="167">
        <f>INDEX(Unit_Rates!$C$7:$K$116,MATCH($C63,Unit_Rates!$C$7:$C$116,0),7)</f>
        <v>47.41057649703847</v>
      </c>
      <c r="H63" s="168">
        <v>2</v>
      </c>
      <c r="I63" s="120" t="s">
        <v>278</v>
      </c>
      <c r="J63" s="162"/>
      <c r="K63" s="169">
        <f t="shared" si="30"/>
        <v>94.82115299407694</v>
      </c>
      <c r="L63" s="169">
        <f t="shared" si="31"/>
        <v>0</v>
      </c>
      <c r="M63" s="148"/>
      <c r="N63" s="363"/>
      <c r="O63" s="363"/>
      <c r="P63" s="364"/>
      <c r="Q63" s="250">
        <f>P63-H63*VLOOKUP(C63,Unit_Rates!$C$7:$E$116,3,FALSE)</f>
        <v>0</v>
      </c>
      <c r="R63" s="131">
        <v>0</v>
      </c>
      <c r="S63" s="131">
        <v>0</v>
      </c>
      <c r="T63" s="131">
        <v>0</v>
      </c>
      <c r="U63" s="131">
        <v>0</v>
      </c>
      <c r="V63" s="131">
        <v>0</v>
      </c>
      <c r="W63" s="131">
        <v>0</v>
      </c>
      <c r="X63" s="131">
        <v>0</v>
      </c>
      <c r="Y63" s="241">
        <f t="shared" si="32"/>
        <v>0</v>
      </c>
      <c r="AK63" s="283"/>
      <c r="AL63" s="283"/>
      <c r="AM63" s="283"/>
      <c r="AN63" s="283"/>
      <c r="AO63" s="289"/>
      <c r="AP63" s="289"/>
      <c r="AQ63" s="289"/>
      <c r="AR63" s="289"/>
      <c r="AS63" s="289"/>
      <c r="AT63" s="289"/>
      <c r="AU63" s="283"/>
      <c r="AV63" s="283"/>
    </row>
    <row r="64" spans="2:48" x14ac:dyDescent="0.25">
      <c r="B64" s="82"/>
      <c r="C64" s="21" t="s">
        <v>179</v>
      </c>
      <c r="D64" s="21" t="str">
        <f>INDEX(Unit_Rates!$C$7:$K$116,MATCH($C64,Unit_Rates!$C$7:$C$116,0),5)</f>
        <v>SCADA/Network control</v>
      </c>
      <c r="E64" s="21" t="str">
        <f>INDEX(Unit_Rates!$C$7:$K$116,MATCH($C64,Unit_Rates!$C$7:$C$116,0),6)</f>
        <v>Augmentation</v>
      </c>
      <c r="F64" s="21" t="str">
        <f t="shared" si="25"/>
        <v>SCADA/Network controlAugmentation</v>
      </c>
      <c r="G64" s="167">
        <f>INDEX(Unit_Rates!$C$7:$K$116,MATCH($C64,Unit_Rates!$C$7:$C$116,0),7)</f>
        <v>98.007730202578273</v>
      </c>
      <c r="H64" s="168"/>
      <c r="I64" s="120" t="s">
        <v>278</v>
      </c>
      <c r="J64" s="162"/>
      <c r="K64" s="169">
        <f t="shared" si="28"/>
        <v>0</v>
      </c>
      <c r="L64" s="169">
        <f t="shared" si="26"/>
        <v>0</v>
      </c>
      <c r="M64" s="148"/>
      <c r="N64" s="363"/>
      <c r="O64" s="363"/>
      <c r="P64" s="364"/>
      <c r="Q64" s="250">
        <f>P64-H64*VLOOKUP(C64,Unit_Rates!$C$106:$E$116,3,FALSE)</f>
        <v>0</v>
      </c>
      <c r="R64" s="131">
        <v>0</v>
      </c>
      <c r="S64" s="131">
        <v>0</v>
      </c>
      <c r="T64" s="131">
        <v>0</v>
      </c>
      <c r="U64" s="131">
        <v>0</v>
      </c>
      <c r="V64" s="131">
        <v>0</v>
      </c>
      <c r="W64" s="131">
        <v>0</v>
      </c>
      <c r="X64" s="131">
        <v>0</v>
      </c>
      <c r="Y64" s="241">
        <f t="shared" si="27"/>
        <v>0</v>
      </c>
      <c r="AK64" s="283"/>
      <c r="AL64" s="283"/>
      <c r="AM64" s="283"/>
      <c r="AN64" s="283"/>
      <c r="AO64" s="289"/>
      <c r="AP64" s="289"/>
      <c r="AQ64" s="289"/>
      <c r="AR64" s="289"/>
      <c r="AS64" s="289"/>
      <c r="AT64" s="289"/>
      <c r="AU64" s="283"/>
      <c r="AV64" s="283"/>
    </row>
    <row r="65" spans="2:48" x14ac:dyDescent="0.25">
      <c r="B65" s="82"/>
      <c r="C65" s="21" t="s">
        <v>281</v>
      </c>
      <c r="D65" t="s">
        <v>2</v>
      </c>
      <c r="E65" t="s">
        <v>25</v>
      </c>
      <c r="F65" t="s">
        <v>28</v>
      </c>
      <c r="G65" s="180">
        <v>5</v>
      </c>
      <c r="H65" s="168"/>
      <c r="I65" s="120" t="s">
        <v>278</v>
      </c>
      <c r="J65" s="162"/>
      <c r="K65" s="169">
        <f t="shared" si="28"/>
        <v>0</v>
      </c>
      <c r="L65" s="169">
        <f t="shared" si="26"/>
        <v>0</v>
      </c>
      <c r="M65" s="148"/>
      <c r="N65" s="363"/>
      <c r="O65" s="363"/>
      <c r="P65" s="364"/>
      <c r="Q65" s="149"/>
      <c r="R65" s="131">
        <v>0</v>
      </c>
      <c r="S65" s="131">
        <v>0</v>
      </c>
      <c r="T65" s="131">
        <v>0</v>
      </c>
      <c r="U65" s="131">
        <v>0</v>
      </c>
      <c r="V65" s="131">
        <v>0</v>
      </c>
      <c r="W65" s="131">
        <v>0</v>
      </c>
      <c r="X65" s="131">
        <v>0</v>
      </c>
      <c r="Y65" s="241">
        <f t="shared" si="27"/>
        <v>0</v>
      </c>
      <c r="AK65" s="283"/>
      <c r="AL65" s="283"/>
      <c r="AM65" s="283"/>
      <c r="AN65" s="283"/>
      <c r="AO65" s="289"/>
      <c r="AP65" s="289"/>
      <c r="AQ65" s="289"/>
      <c r="AR65" s="289"/>
      <c r="AS65" s="289"/>
      <c r="AT65" s="289"/>
      <c r="AU65" s="283"/>
      <c r="AV65" s="283"/>
    </row>
    <row r="66" spans="2:48" x14ac:dyDescent="0.25">
      <c r="B66" s="82"/>
      <c r="C66" s="21" t="s">
        <v>191</v>
      </c>
      <c r="D66" t="s">
        <v>2</v>
      </c>
      <c r="E66" t="s">
        <v>25</v>
      </c>
      <c r="F66" t="s">
        <v>28</v>
      </c>
      <c r="G66" s="167">
        <f>INDEX(Unit_Rates!$C$7:$K$116,MATCH($C66,Unit_Rates!$C$7:$C$116,0),7)</f>
        <v>92.239631675874776</v>
      </c>
      <c r="H66" s="168">
        <v>2</v>
      </c>
      <c r="I66" s="120" t="s">
        <v>278</v>
      </c>
      <c r="J66" s="162"/>
      <c r="K66" s="169">
        <f t="shared" si="28"/>
        <v>184.47926335174955</v>
      </c>
      <c r="L66" s="169">
        <f t="shared" si="26"/>
        <v>0</v>
      </c>
      <c r="M66" s="148"/>
      <c r="N66" s="363"/>
      <c r="O66" s="363"/>
      <c r="P66" s="364"/>
      <c r="Q66" s="250">
        <f>P66-H66*VLOOKUP(C66,Unit_Rates!$C$106:$E$116,3,FALSE)</f>
        <v>0</v>
      </c>
      <c r="R66" s="131">
        <v>0</v>
      </c>
      <c r="S66" s="131">
        <v>0</v>
      </c>
      <c r="T66" s="131">
        <v>0</v>
      </c>
      <c r="U66" s="131">
        <v>0</v>
      </c>
      <c r="V66" s="131">
        <v>0</v>
      </c>
      <c r="W66" s="131">
        <v>0</v>
      </c>
      <c r="X66" s="131">
        <v>0</v>
      </c>
      <c r="Y66" s="241">
        <f t="shared" si="27"/>
        <v>0</v>
      </c>
      <c r="AK66" s="283"/>
      <c r="AL66" s="283"/>
      <c r="AM66" s="283"/>
      <c r="AN66" s="283"/>
      <c r="AO66" s="289"/>
      <c r="AP66" s="289"/>
      <c r="AQ66" s="289"/>
      <c r="AR66" s="289"/>
      <c r="AS66" s="289"/>
      <c r="AT66" s="289"/>
      <c r="AU66" s="283"/>
      <c r="AV66" s="283"/>
    </row>
    <row r="67" spans="2:48" x14ac:dyDescent="0.25">
      <c r="B67" s="82"/>
      <c r="C67" s="21" t="s">
        <v>282</v>
      </c>
      <c r="D67" t="s">
        <v>2</v>
      </c>
      <c r="E67" t="s">
        <v>25</v>
      </c>
      <c r="F67" s="21" t="str">
        <f t="shared" si="25"/>
        <v>SCADA/Network controlAugmentation</v>
      </c>
      <c r="G67" s="180">
        <v>5</v>
      </c>
      <c r="H67" s="168"/>
      <c r="I67" s="120" t="s">
        <v>278</v>
      </c>
      <c r="J67" s="162"/>
      <c r="K67" s="169">
        <f>G67*H67</f>
        <v>0</v>
      </c>
      <c r="L67" s="169">
        <f t="shared" si="26"/>
        <v>0</v>
      </c>
      <c r="M67" s="148"/>
      <c r="N67" s="363"/>
      <c r="O67" s="363"/>
      <c r="P67" s="364"/>
      <c r="Q67" s="149"/>
      <c r="R67" s="131">
        <v>0</v>
      </c>
      <c r="S67" s="131">
        <v>0</v>
      </c>
      <c r="T67" s="131">
        <v>0</v>
      </c>
      <c r="U67" s="131">
        <v>0</v>
      </c>
      <c r="V67" s="131">
        <v>0</v>
      </c>
      <c r="W67" s="131">
        <v>0</v>
      </c>
      <c r="X67" s="131">
        <v>0</v>
      </c>
      <c r="Y67" s="241">
        <f t="shared" si="27"/>
        <v>0</v>
      </c>
      <c r="AK67" s="283"/>
      <c r="AL67" s="283"/>
      <c r="AM67" s="283"/>
      <c r="AN67" s="283"/>
      <c r="AO67" s="289"/>
      <c r="AP67" s="289"/>
      <c r="AQ67" s="289"/>
      <c r="AR67" s="289"/>
      <c r="AS67" s="289"/>
      <c r="AT67" s="289"/>
      <c r="AU67" s="283"/>
      <c r="AV67" s="283"/>
    </row>
    <row r="68" spans="2:48" x14ac:dyDescent="0.25">
      <c r="B68" s="117" t="s">
        <v>283</v>
      </c>
      <c r="D68" t="s">
        <v>3</v>
      </c>
      <c r="E68" t="s">
        <v>25</v>
      </c>
      <c r="F68" s="21" t="str">
        <f t="shared" si="25"/>
        <v>SubtransmissionAugmentation</v>
      </c>
      <c r="G68" s="181">
        <v>22.898220163500003</v>
      </c>
      <c r="H68" s="168">
        <f>AN161</f>
        <v>0</v>
      </c>
      <c r="I68" s="120" t="s">
        <v>278</v>
      </c>
      <c r="J68" s="162"/>
      <c r="K68" s="169">
        <f>G68*H68</f>
        <v>0</v>
      </c>
      <c r="L68" s="169">
        <f t="shared" si="26"/>
        <v>0</v>
      </c>
      <c r="M68" s="148"/>
      <c r="N68" s="363"/>
      <c r="O68" s="363"/>
      <c r="P68" s="364"/>
      <c r="Q68" s="149"/>
      <c r="R68" s="131">
        <v>0</v>
      </c>
      <c r="S68" s="131">
        <v>0</v>
      </c>
      <c r="T68" s="131">
        <v>0</v>
      </c>
      <c r="U68" s="131">
        <v>0</v>
      </c>
      <c r="V68" s="131">
        <v>0</v>
      </c>
      <c r="W68" s="131">
        <v>0</v>
      </c>
      <c r="X68" s="131">
        <v>0</v>
      </c>
      <c r="Y68" s="241">
        <f t="shared" si="27"/>
        <v>0</v>
      </c>
      <c r="AK68" s="283"/>
      <c r="AL68" s="283"/>
      <c r="AM68" s="283"/>
      <c r="AN68" s="283"/>
      <c r="AO68" s="289"/>
      <c r="AP68" s="289"/>
      <c r="AQ68" s="289"/>
      <c r="AR68" s="289"/>
      <c r="AS68" s="289"/>
      <c r="AT68" s="289"/>
      <c r="AU68" s="283"/>
      <c r="AV68" s="283"/>
    </row>
    <row r="69" spans="2:48" x14ac:dyDescent="0.25">
      <c r="B69" s="117" t="s">
        <v>308</v>
      </c>
      <c r="D69" t="s">
        <v>3</v>
      </c>
      <c r="E69" t="s">
        <v>25</v>
      </c>
      <c r="F69" s="21" t="str">
        <f t="shared" si="25"/>
        <v>SubtransmissionAugmentation</v>
      </c>
      <c r="G69" s="181">
        <v>4.5</v>
      </c>
      <c r="H69" s="168"/>
      <c r="I69" s="120" t="s">
        <v>278</v>
      </c>
      <c r="J69" s="162"/>
      <c r="K69" s="169">
        <f>G69*H69</f>
        <v>0</v>
      </c>
      <c r="L69" s="169">
        <f t="shared" si="26"/>
        <v>0</v>
      </c>
      <c r="M69" s="148"/>
      <c r="N69" s="363"/>
      <c r="O69" s="363"/>
      <c r="P69" s="364"/>
      <c r="Q69" s="149"/>
      <c r="R69" s="131">
        <v>0</v>
      </c>
      <c r="S69" s="131">
        <v>0</v>
      </c>
      <c r="T69" s="131">
        <v>0</v>
      </c>
      <c r="U69" s="131">
        <v>0</v>
      </c>
      <c r="V69" s="131">
        <v>0</v>
      </c>
      <c r="W69" s="131">
        <v>0</v>
      </c>
      <c r="X69" s="131">
        <v>0</v>
      </c>
      <c r="Y69" s="241">
        <f t="shared" si="27"/>
        <v>0</v>
      </c>
      <c r="AK69" s="283"/>
      <c r="AL69" s="283"/>
      <c r="AM69" s="283"/>
      <c r="AN69" s="283"/>
      <c r="AO69" s="289"/>
      <c r="AP69" s="289"/>
      <c r="AQ69" s="289"/>
      <c r="AR69" s="289"/>
      <c r="AS69" s="289"/>
      <c r="AT69" s="289"/>
      <c r="AU69" s="283"/>
      <c r="AV69" s="283"/>
    </row>
    <row r="70" spans="2:48" x14ac:dyDescent="0.25">
      <c r="B70" s="117" t="s">
        <v>307</v>
      </c>
      <c r="D70" t="s">
        <v>3</v>
      </c>
      <c r="E70" t="s">
        <v>25</v>
      </c>
      <c r="F70" s="21" t="str">
        <f t="shared" si="25"/>
        <v>SubtransmissionAugmentation</v>
      </c>
      <c r="G70" s="181">
        <v>15</v>
      </c>
      <c r="H70" s="168">
        <f>AN149</f>
        <v>0</v>
      </c>
      <c r="I70" s="120" t="s">
        <v>278</v>
      </c>
      <c r="J70" s="162"/>
      <c r="K70" s="169">
        <f>G70*H70</f>
        <v>0</v>
      </c>
      <c r="L70" s="169">
        <f t="shared" si="26"/>
        <v>0</v>
      </c>
      <c r="M70" s="148"/>
      <c r="N70" s="363"/>
      <c r="O70" s="363"/>
      <c r="P70" s="364"/>
      <c r="Q70" s="149"/>
      <c r="R70" s="131">
        <v>0</v>
      </c>
      <c r="S70" s="131">
        <v>0</v>
      </c>
      <c r="T70" s="131">
        <v>0</v>
      </c>
      <c r="U70" s="131">
        <v>0</v>
      </c>
      <c r="V70" s="131">
        <v>0</v>
      </c>
      <c r="W70" s="131">
        <v>0</v>
      </c>
      <c r="X70" s="131">
        <v>0</v>
      </c>
      <c r="Y70" s="241">
        <f t="shared" si="27"/>
        <v>0</v>
      </c>
      <c r="AK70" s="283"/>
      <c r="AL70" s="283"/>
      <c r="AM70" s="283"/>
      <c r="AN70" s="283"/>
      <c r="AO70" s="289"/>
      <c r="AP70" s="289"/>
      <c r="AQ70" s="289"/>
      <c r="AR70" s="289"/>
      <c r="AS70" s="289"/>
      <c r="AT70" s="289"/>
      <c r="AU70" s="283"/>
      <c r="AV70" s="283"/>
    </row>
    <row r="71" spans="2:48" x14ac:dyDescent="0.25">
      <c r="B71" s="117" t="s">
        <v>284</v>
      </c>
      <c r="G71" s="166"/>
      <c r="H71" s="182"/>
      <c r="I71" s="164"/>
      <c r="K71" s="146"/>
      <c r="L71" s="146"/>
      <c r="M71" s="165"/>
      <c r="N71" s="122"/>
      <c r="O71" s="165"/>
      <c r="P71" s="123"/>
      <c r="Q71" s="149"/>
      <c r="R71" s="184"/>
      <c r="S71" s="184"/>
      <c r="T71" s="184"/>
      <c r="U71" s="184"/>
      <c r="V71" s="184"/>
      <c r="W71" s="184"/>
      <c r="X71" s="184"/>
      <c r="Y71" s="75"/>
      <c r="AK71" s="283"/>
      <c r="AL71" s="283"/>
      <c r="AM71" s="283"/>
      <c r="AN71" s="283"/>
      <c r="AO71" s="289"/>
      <c r="AP71" s="289"/>
      <c r="AQ71" s="289"/>
      <c r="AR71" s="289"/>
      <c r="AS71" s="289"/>
      <c r="AT71" s="289"/>
      <c r="AU71" s="283"/>
      <c r="AV71" s="283"/>
    </row>
    <row r="72" spans="2:48" x14ac:dyDescent="0.25">
      <c r="B72" s="82"/>
      <c r="C72" s="21" t="s">
        <v>306</v>
      </c>
      <c r="D72" t="s">
        <v>3</v>
      </c>
      <c r="E72" t="s">
        <v>25</v>
      </c>
      <c r="F72" s="21" t="str">
        <f t="shared" ref="F72:F77" si="33">D72&amp;E72</f>
        <v>SubtransmissionAugmentation</v>
      </c>
      <c r="G72" s="181">
        <v>0</v>
      </c>
      <c r="H72" s="168"/>
      <c r="I72" s="120" t="s">
        <v>278</v>
      </c>
      <c r="K72" s="169">
        <f>G72*H72</f>
        <v>0</v>
      </c>
      <c r="L72" s="169">
        <f t="shared" ref="L72:L77" si="34">SUMPRODUCT(R$5:X$5,R72:X72)/Thousands</f>
        <v>0</v>
      </c>
      <c r="M72" s="148"/>
      <c r="N72" s="363"/>
      <c r="O72" s="363"/>
      <c r="P72" s="364"/>
      <c r="Q72" s="149"/>
      <c r="R72" s="131">
        <v>0</v>
      </c>
      <c r="S72" s="131">
        <v>0</v>
      </c>
      <c r="T72" s="131">
        <v>0</v>
      </c>
      <c r="U72" s="131">
        <v>0</v>
      </c>
      <c r="V72" s="131">
        <v>0</v>
      </c>
      <c r="W72" s="131">
        <v>0</v>
      </c>
      <c r="X72" s="131">
        <v>0</v>
      </c>
      <c r="Y72" s="241">
        <f t="shared" ref="Y72:Y77" si="35">SUM(R72:X72)</f>
        <v>0</v>
      </c>
      <c r="AK72" s="283"/>
      <c r="AL72" s="283"/>
      <c r="AM72" s="290"/>
      <c r="AN72" s="283"/>
      <c r="AO72" s="289"/>
      <c r="AP72" s="289"/>
      <c r="AQ72" s="289"/>
      <c r="AR72" s="289"/>
      <c r="AS72" s="289"/>
      <c r="AT72" s="289"/>
      <c r="AU72" s="283"/>
      <c r="AV72" s="283"/>
    </row>
    <row r="73" spans="2:48" x14ac:dyDescent="0.25">
      <c r="B73" s="82"/>
      <c r="C73" s="21" t="s">
        <v>305</v>
      </c>
      <c r="D73" t="s">
        <v>3</v>
      </c>
      <c r="E73" t="s">
        <v>25</v>
      </c>
      <c r="F73" s="21" t="str">
        <f t="shared" si="33"/>
        <v>SubtransmissionAugmentation</v>
      </c>
      <c r="G73" s="181">
        <v>0</v>
      </c>
      <c r="H73" s="168"/>
      <c r="I73" s="120" t="s">
        <v>278</v>
      </c>
      <c r="K73" s="169">
        <f>G73*H73</f>
        <v>0</v>
      </c>
      <c r="L73" s="169">
        <f t="shared" si="34"/>
        <v>0</v>
      </c>
      <c r="M73" s="148"/>
      <c r="N73" s="363"/>
      <c r="O73" s="363"/>
      <c r="P73" s="364"/>
      <c r="Q73" s="149"/>
      <c r="R73" s="131">
        <v>0</v>
      </c>
      <c r="S73" s="131">
        <v>0</v>
      </c>
      <c r="T73" s="131">
        <v>0</v>
      </c>
      <c r="U73" s="131">
        <v>0</v>
      </c>
      <c r="V73" s="131">
        <v>0</v>
      </c>
      <c r="W73" s="131">
        <v>0</v>
      </c>
      <c r="X73" s="131">
        <v>0</v>
      </c>
      <c r="Y73" s="241">
        <f t="shared" si="35"/>
        <v>0</v>
      </c>
      <c r="AK73" s="283"/>
      <c r="AL73" s="283"/>
      <c r="AM73" s="283"/>
      <c r="AN73" s="283"/>
      <c r="AO73" s="289"/>
      <c r="AP73" s="289"/>
      <c r="AQ73" s="289"/>
      <c r="AR73" s="289"/>
      <c r="AS73" s="289"/>
      <c r="AT73" s="289"/>
      <c r="AU73" s="283"/>
      <c r="AV73" s="283"/>
    </row>
    <row r="74" spans="2:48" x14ac:dyDescent="0.25">
      <c r="B74" s="82"/>
      <c r="C74" s="21" t="s">
        <v>285</v>
      </c>
      <c r="D74" s="21" t="str">
        <f>Unit_Rates!G50</f>
        <v>Subtransmission</v>
      </c>
      <c r="E74" s="21" t="str">
        <f>Unit_Rates!H50</f>
        <v>Augmentation</v>
      </c>
      <c r="F74" s="21" t="str">
        <f t="shared" si="33"/>
        <v>SubtransmissionAugmentation</v>
      </c>
      <c r="G74" s="167">
        <f>Unit_Rates!$I$50</f>
        <v>131.39534883720927</v>
      </c>
      <c r="H74" s="168"/>
      <c r="I74" s="120" t="s">
        <v>278</v>
      </c>
      <c r="K74" s="169">
        <f>G74*H74</f>
        <v>0</v>
      </c>
      <c r="L74" s="169">
        <f t="shared" si="34"/>
        <v>0</v>
      </c>
      <c r="M74" s="148"/>
      <c r="N74" s="363"/>
      <c r="O74" s="363"/>
      <c r="P74" s="364"/>
      <c r="Q74" s="250">
        <f>P74-H74*VLOOKUP("Oil separator",Unit_Rates!$C$7:$E$51,3,FALSE)</f>
        <v>0</v>
      </c>
      <c r="R74" s="131">
        <v>0</v>
      </c>
      <c r="S74" s="131">
        <v>0</v>
      </c>
      <c r="T74" s="131">
        <v>0</v>
      </c>
      <c r="U74" s="131">
        <v>0</v>
      </c>
      <c r="V74" s="131">
        <v>0</v>
      </c>
      <c r="W74" s="131">
        <v>0</v>
      </c>
      <c r="X74" s="131">
        <v>0</v>
      </c>
      <c r="Y74" s="241">
        <f t="shared" si="35"/>
        <v>0</v>
      </c>
      <c r="AK74" s="283"/>
      <c r="AL74" s="283"/>
      <c r="AM74" s="283"/>
      <c r="AN74" s="283"/>
      <c r="AO74" s="289"/>
      <c r="AP74" s="289"/>
      <c r="AQ74" s="289"/>
      <c r="AR74" s="289"/>
      <c r="AS74" s="289"/>
      <c r="AT74" s="289"/>
      <c r="AU74" s="283"/>
      <c r="AV74" s="283"/>
    </row>
    <row r="75" spans="2:48" x14ac:dyDescent="0.25">
      <c r="B75" s="82"/>
      <c r="C75" s="262" t="s">
        <v>286</v>
      </c>
      <c r="D75" t="s">
        <v>3</v>
      </c>
      <c r="E75" t="s">
        <v>25</v>
      </c>
      <c r="F75" s="21" t="str">
        <f t="shared" si="33"/>
        <v>SubtransmissionAugmentation</v>
      </c>
      <c r="G75" s="181">
        <v>0</v>
      </c>
      <c r="H75" s="168"/>
      <c r="I75" s="120" t="s">
        <v>278</v>
      </c>
      <c r="K75" s="169">
        <f>G75*H75</f>
        <v>0</v>
      </c>
      <c r="L75" s="169">
        <f t="shared" si="34"/>
        <v>0</v>
      </c>
      <c r="M75" s="148"/>
      <c r="N75" s="363"/>
      <c r="O75" s="365"/>
      <c r="P75" s="364"/>
      <c r="Q75" s="149"/>
      <c r="R75" s="131">
        <v>0</v>
      </c>
      <c r="S75" s="131">
        <v>0</v>
      </c>
      <c r="T75" s="131">
        <v>0</v>
      </c>
      <c r="U75" s="131">
        <v>0</v>
      </c>
      <c r="V75" s="131">
        <v>0</v>
      </c>
      <c r="W75" s="131">
        <v>0</v>
      </c>
      <c r="X75" s="131">
        <v>0</v>
      </c>
      <c r="Y75" s="241">
        <f t="shared" si="35"/>
        <v>0</v>
      </c>
      <c r="AK75" s="283"/>
      <c r="AL75" s="283"/>
      <c r="AM75" s="283"/>
      <c r="AN75" s="283"/>
      <c r="AO75" s="289"/>
      <c r="AP75" s="289"/>
      <c r="AQ75" s="289"/>
      <c r="AR75" s="289"/>
      <c r="AS75" s="289"/>
      <c r="AT75" s="289"/>
      <c r="AU75" s="283"/>
      <c r="AV75" s="283"/>
    </row>
    <row r="76" spans="2:48" x14ac:dyDescent="0.25">
      <c r="B76" s="117" t="s">
        <v>287</v>
      </c>
      <c r="C76" s="262"/>
      <c r="D76" t="s">
        <v>3</v>
      </c>
      <c r="E76" t="s">
        <v>25</v>
      </c>
      <c r="F76" s="21" t="str">
        <f t="shared" si="33"/>
        <v>SubtransmissionAugmentation</v>
      </c>
      <c r="G76" s="167">
        <v>0</v>
      </c>
      <c r="H76" s="168"/>
      <c r="I76" s="120" t="s">
        <v>278</v>
      </c>
      <c r="K76" s="169">
        <f>G76*H76</f>
        <v>0</v>
      </c>
      <c r="L76" s="198">
        <f t="shared" si="34"/>
        <v>0</v>
      </c>
      <c r="M76" s="183"/>
      <c r="N76" s="363"/>
      <c r="O76" s="363"/>
      <c r="P76" s="364"/>
      <c r="Q76" s="149"/>
      <c r="R76" s="184"/>
      <c r="S76" s="184"/>
      <c r="T76" s="184"/>
      <c r="U76" s="184"/>
      <c r="V76" s="184"/>
      <c r="W76" s="184"/>
      <c r="X76" s="184"/>
      <c r="Y76" s="75"/>
      <c r="AK76" s="283"/>
      <c r="AL76" s="283"/>
      <c r="AM76" s="283"/>
      <c r="AN76" s="283"/>
      <c r="AO76" s="289"/>
      <c r="AP76" s="289"/>
      <c r="AQ76" s="289"/>
      <c r="AR76" s="289"/>
      <c r="AS76" s="289"/>
      <c r="AT76" s="289"/>
      <c r="AU76" s="283"/>
      <c r="AV76" s="283"/>
    </row>
    <row r="77" spans="2:48" x14ac:dyDescent="0.25">
      <c r="B77" s="117" t="s">
        <v>288</v>
      </c>
      <c r="D77" t="s">
        <v>4</v>
      </c>
      <c r="E77" t="s">
        <v>27</v>
      </c>
      <c r="F77" s="21" t="str">
        <f t="shared" si="33"/>
        <v>LandNon-Network</v>
      </c>
      <c r="G77" s="167">
        <v>0</v>
      </c>
      <c r="H77" s="168"/>
      <c r="I77" s="120" t="s">
        <v>278</v>
      </c>
      <c r="K77" s="198">
        <v>0</v>
      </c>
      <c r="L77" s="198">
        <f t="shared" si="34"/>
        <v>0</v>
      </c>
      <c r="M77" s="183"/>
      <c r="N77" s="363"/>
      <c r="O77" s="363"/>
      <c r="P77" s="364"/>
      <c r="Q77" s="149"/>
      <c r="R77" s="131">
        <v>0</v>
      </c>
      <c r="S77" s="131">
        <v>0</v>
      </c>
      <c r="T77" s="131">
        <v>0</v>
      </c>
      <c r="U77" s="131">
        <v>0</v>
      </c>
      <c r="V77" s="131">
        <v>0</v>
      </c>
      <c r="W77" s="131">
        <v>0</v>
      </c>
      <c r="X77" s="131">
        <v>0</v>
      </c>
      <c r="Y77" s="241">
        <f t="shared" si="35"/>
        <v>0</v>
      </c>
      <c r="AK77" s="283"/>
      <c r="AL77" s="349"/>
      <c r="AM77" s="349"/>
      <c r="AN77" s="283"/>
      <c r="AO77" s="289"/>
      <c r="AP77" s="289"/>
      <c r="AQ77" s="289"/>
      <c r="AR77" s="289"/>
      <c r="AS77" s="289"/>
      <c r="AT77" s="289"/>
      <c r="AU77" s="283"/>
      <c r="AV77" s="283"/>
    </row>
    <row r="78" spans="2:48" x14ac:dyDescent="0.25">
      <c r="B78" s="82"/>
      <c r="G78" s="166"/>
      <c r="H78" s="82"/>
      <c r="I78" s="164"/>
      <c r="K78" s="185"/>
      <c r="L78" s="185"/>
      <c r="M78" s="186"/>
      <c r="N78" s="186"/>
      <c r="O78" s="186"/>
      <c r="P78" s="186"/>
      <c r="X78" s="106"/>
      <c r="AK78" s="283"/>
      <c r="AL78" s="349"/>
      <c r="AM78" s="349"/>
      <c r="AN78" s="283"/>
      <c r="AO78" s="289"/>
      <c r="AP78" s="289"/>
      <c r="AQ78" s="289"/>
      <c r="AR78" s="289"/>
      <c r="AS78" s="289"/>
      <c r="AT78" s="289"/>
      <c r="AU78" s="283"/>
      <c r="AV78" s="283"/>
    </row>
    <row r="79" spans="2:48" x14ac:dyDescent="0.25">
      <c r="B79" s="117" t="s">
        <v>431</v>
      </c>
      <c r="G79" s="166"/>
      <c r="H79" s="82"/>
      <c r="I79" s="164"/>
      <c r="K79" s="278">
        <v>10951.439519632118</v>
      </c>
      <c r="L79" s="278">
        <v>2616.6391252266017</v>
      </c>
      <c r="M79" s="279">
        <v>3376.68640370911</v>
      </c>
      <c r="N79" s="279">
        <v>9063.992637242889</v>
      </c>
      <c r="O79" s="279">
        <v>499.00794040230596</v>
      </c>
      <c r="P79" s="279">
        <v>26507.765626213026</v>
      </c>
      <c r="Q79" s="323"/>
      <c r="X79" s="106"/>
      <c r="AK79" s="283"/>
      <c r="AL79" s="349"/>
      <c r="AM79" s="349"/>
      <c r="AN79" s="283"/>
      <c r="AO79" s="289"/>
      <c r="AP79" s="289"/>
      <c r="AQ79" s="289"/>
      <c r="AR79" s="289"/>
      <c r="AS79" s="289"/>
      <c r="AT79" s="289"/>
      <c r="AU79" s="283"/>
      <c r="AV79" s="283"/>
    </row>
    <row r="80" spans="2:48" x14ac:dyDescent="0.25">
      <c r="B80" s="187" t="s">
        <v>289</v>
      </c>
      <c r="C80" s="263"/>
      <c r="D80" s="100"/>
      <c r="E80" s="100"/>
      <c r="F80" s="100"/>
      <c r="G80" s="188"/>
      <c r="H80" s="187"/>
      <c r="I80" s="188"/>
      <c r="J80" s="100"/>
      <c r="K80" s="189">
        <v>0</v>
      </c>
      <c r="L80" s="190">
        <v>0</v>
      </c>
      <c r="M80" s="190">
        <v>0</v>
      </c>
      <c r="N80" s="190">
        <v>0</v>
      </c>
      <c r="O80" s="190">
        <v>0</v>
      </c>
      <c r="P80" s="191">
        <v>0</v>
      </c>
      <c r="X80" s="106"/>
      <c r="AK80" s="283"/>
      <c r="AL80" s="349"/>
      <c r="AM80" s="349"/>
      <c r="AN80" s="283"/>
      <c r="AO80" s="289"/>
      <c r="AP80" s="289"/>
      <c r="AQ80" s="289"/>
      <c r="AR80" s="289"/>
      <c r="AS80" s="289"/>
      <c r="AT80" s="289"/>
      <c r="AU80" s="283"/>
      <c r="AV80" s="283"/>
    </row>
    <row r="81" spans="2:48" ht="30" x14ac:dyDescent="0.25">
      <c r="B81" s="140" t="s">
        <v>290</v>
      </c>
      <c r="C81" s="260"/>
      <c r="D81" s="115"/>
      <c r="E81" s="115"/>
      <c r="F81" s="115"/>
      <c r="G81" s="192" t="s">
        <v>291</v>
      </c>
      <c r="H81" s="304" t="s">
        <v>265</v>
      </c>
      <c r="I81" s="65" t="s">
        <v>266</v>
      </c>
      <c r="J81" s="100"/>
      <c r="K81" s="65" t="s">
        <v>19</v>
      </c>
      <c r="L81" s="65" t="s">
        <v>20</v>
      </c>
      <c r="M81" s="193" t="s">
        <v>21</v>
      </c>
      <c r="N81" s="193" t="s">
        <v>22</v>
      </c>
      <c r="O81" s="66" t="s">
        <v>23</v>
      </c>
      <c r="P81" s="66" t="s">
        <v>24</v>
      </c>
      <c r="X81" s="106"/>
      <c r="AK81" s="283"/>
      <c r="AL81" s="349"/>
      <c r="AM81" s="349"/>
      <c r="AN81" s="283"/>
      <c r="AO81" s="289"/>
      <c r="AP81" s="289"/>
      <c r="AQ81" s="289"/>
      <c r="AR81" s="289"/>
      <c r="AS81" s="289"/>
      <c r="AT81" s="289"/>
      <c r="AU81" s="283"/>
      <c r="AV81" s="283"/>
    </row>
    <row r="82" spans="2:48" x14ac:dyDescent="0.25">
      <c r="B82" s="117"/>
      <c r="C82" s="242"/>
      <c r="G82" s="164"/>
      <c r="H82" s="82"/>
      <c r="I82" s="164"/>
      <c r="K82" s="194"/>
      <c r="L82" s="194"/>
      <c r="M82" s="195"/>
      <c r="N82" s="195"/>
      <c r="O82" s="195"/>
      <c r="P82" s="166"/>
      <c r="X82" s="106"/>
      <c r="AK82" s="283"/>
      <c r="AL82" s="349"/>
      <c r="AM82" s="349"/>
      <c r="AN82" s="283"/>
      <c r="AO82" s="289"/>
      <c r="AP82" s="289"/>
      <c r="AQ82" s="289"/>
      <c r="AR82" s="289"/>
      <c r="AS82" s="289"/>
      <c r="AT82" s="289"/>
      <c r="AU82" s="283"/>
      <c r="AV82" s="283"/>
    </row>
    <row r="83" spans="2:48" x14ac:dyDescent="0.25">
      <c r="B83" s="248" t="s">
        <v>394</v>
      </c>
      <c r="G83" s="164"/>
      <c r="H83" s="82"/>
      <c r="I83" s="164"/>
      <c r="K83" s="194"/>
      <c r="L83" s="194"/>
      <c r="M83" s="195"/>
      <c r="N83" s="195"/>
      <c r="O83" s="195"/>
      <c r="P83" s="166"/>
      <c r="X83" s="106"/>
      <c r="Y83" s="75"/>
      <c r="AK83" s="283"/>
      <c r="AL83" s="349"/>
      <c r="AM83" s="349"/>
      <c r="AN83" s="283"/>
      <c r="AO83" s="289"/>
      <c r="AP83" s="289"/>
      <c r="AQ83" s="289"/>
      <c r="AR83" s="289"/>
      <c r="AS83" s="289"/>
      <c r="AT83" s="289"/>
      <c r="AU83" s="283"/>
      <c r="AV83" s="283"/>
    </row>
    <row r="84" spans="2:48" x14ac:dyDescent="0.25">
      <c r="B84" s="269" t="s">
        <v>395</v>
      </c>
      <c r="G84" s="164"/>
      <c r="H84" s="82"/>
      <c r="I84" s="164"/>
      <c r="K84" s="194"/>
      <c r="L84" s="194"/>
      <c r="M84" s="195"/>
      <c r="N84" s="195"/>
      <c r="O84" s="195"/>
      <c r="P84" s="166"/>
      <c r="X84" s="106"/>
      <c r="Y84" s="75"/>
      <c r="AK84" s="283"/>
      <c r="AL84" s="349"/>
      <c r="AM84" s="349"/>
      <c r="AN84" s="283"/>
      <c r="AO84" s="289"/>
      <c r="AP84" s="289"/>
      <c r="AQ84" s="289"/>
      <c r="AR84" s="289"/>
      <c r="AS84" s="289"/>
      <c r="AT84" s="289"/>
      <c r="AU84" s="283"/>
      <c r="AV84" s="283"/>
    </row>
    <row r="85" spans="2:48" x14ac:dyDescent="0.25">
      <c r="B85" s="251"/>
      <c r="C85" s="242" t="s">
        <v>390</v>
      </c>
      <c r="D85" s="21" t="str">
        <f>INDEX(Unit_Rates!$C$7:$K$134,MATCH($C85,Unit_Rates!$C$7:$C$134,0),5)</f>
        <v>Distribution system assets</v>
      </c>
      <c r="E85" s="21" t="str">
        <f>INDEX(Unit_Rates!$C$7:$K$134,MATCH($C85,Unit_Rates!$C$7:$C$134,0),6)</f>
        <v>Replacement</v>
      </c>
      <c r="F85" s="21" t="str">
        <f t="shared" ref="F85:F86" si="36">D85&amp;E85</f>
        <v>Distribution system assetsReplacement</v>
      </c>
      <c r="G85" s="167">
        <f>INDEX(Unit_Rates!$C$7:$K$134,MATCH($C85,Unit_Rates!$C$7:$C$134,0),7)</f>
        <v>0</v>
      </c>
      <c r="H85" s="332">
        <v>12.395</v>
      </c>
      <c r="I85" s="120" t="s">
        <v>322</v>
      </c>
      <c r="J85" s="106"/>
      <c r="K85" s="167">
        <f>G85*H85</f>
        <v>0</v>
      </c>
      <c r="L85" s="167">
        <f t="shared" ref="L85:L86" si="37">SUMPRODUCT(R$5:X$5,R85:X85)/Thousands</f>
        <v>0</v>
      </c>
      <c r="M85" s="167"/>
      <c r="N85" s="367"/>
      <c r="O85" s="367"/>
      <c r="P85" s="367"/>
      <c r="Q85" s="250">
        <f>P85-H85*VLOOKUP(C85,Unit_Rates!$C$7:$E$134,3,FALSE)</f>
        <v>0</v>
      </c>
      <c r="R85" s="131">
        <v>0</v>
      </c>
      <c r="S85" s="131">
        <v>0</v>
      </c>
      <c r="T85" s="131">
        <v>0</v>
      </c>
      <c r="U85" s="131">
        <v>0</v>
      </c>
      <c r="V85" s="131">
        <v>0</v>
      </c>
      <c r="W85" s="131">
        <v>0</v>
      </c>
      <c r="X85" s="131">
        <v>0</v>
      </c>
      <c r="Y85" s="241">
        <f t="shared" ref="Y85:Y92" si="38">SUM(R85:X85)</f>
        <v>0</v>
      </c>
      <c r="Z85" s="6"/>
      <c r="AA85" s="6"/>
      <c r="AB85" s="6"/>
      <c r="AC85" s="6"/>
      <c r="AD85" s="6"/>
      <c r="AE85" s="6"/>
      <c r="AF85" s="6"/>
      <c r="AG85" s="8"/>
      <c r="AI85" s="94"/>
      <c r="AK85" s="283"/>
      <c r="AL85" s="349"/>
      <c r="AM85" s="349"/>
      <c r="AN85" s="283"/>
      <c r="AO85" s="289"/>
      <c r="AP85" s="289"/>
      <c r="AQ85" s="289"/>
      <c r="AR85" s="289"/>
      <c r="AS85" s="289"/>
      <c r="AT85" s="289"/>
      <c r="AU85" s="283"/>
      <c r="AV85" s="283"/>
    </row>
    <row r="86" spans="2:48" x14ac:dyDescent="0.25">
      <c r="B86" s="251"/>
      <c r="C86" s="21" t="s">
        <v>396</v>
      </c>
      <c r="D86" s="21" t="str">
        <f>INDEX(Unit_Rates!$C$7:$K$134,MATCH($C86,Unit_Rates!$C$7:$C$134,0),5)</f>
        <v>Distribution system assets</v>
      </c>
      <c r="E86" s="21" t="str">
        <f>INDEX(Unit_Rates!$C$7:$K$134,MATCH($C86,Unit_Rates!$C$7:$C$134,0),6)</f>
        <v>Augmentation</v>
      </c>
      <c r="F86" s="21" t="str">
        <f t="shared" si="36"/>
        <v>Distribution system assetsAugmentation</v>
      </c>
      <c r="G86" s="167">
        <f>INDEX(Unit_Rates!$C$7:$K$134,MATCH($C86,Unit_Rates!$C$7:$C$134,0),7)</f>
        <v>131.47965539584138</v>
      </c>
      <c r="H86" s="332">
        <v>3.1749999999999998</v>
      </c>
      <c r="I86" s="120" t="s">
        <v>322</v>
      </c>
      <c r="J86" s="106"/>
      <c r="K86" s="167">
        <f>G86*H86</f>
        <v>417.44790588179637</v>
      </c>
      <c r="L86" s="167">
        <f t="shared" si="37"/>
        <v>0</v>
      </c>
      <c r="M86" s="167"/>
      <c r="N86" s="367"/>
      <c r="O86" s="367"/>
      <c r="P86" s="367"/>
      <c r="Q86" s="250">
        <f>P86-H86*VLOOKUP(C86,Unit_Rates!$C$7:$E$134,3,FALSE)</f>
        <v>0</v>
      </c>
      <c r="R86" s="131">
        <v>0</v>
      </c>
      <c r="S86" s="131">
        <v>0</v>
      </c>
      <c r="T86" s="131">
        <v>0</v>
      </c>
      <c r="U86" s="131">
        <v>0</v>
      </c>
      <c r="V86" s="131">
        <v>0</v>
      </c>
      <c r="W86" s="131">
        <v>0</v>
      </c>
      <c r="X86" s="131">
        <v>0</v>
      </c>
      <c r="Y86" s="241">
        <f t="shared" si="38"/>
        <v>0</v>
      </c>
      <c r="Z86" s="6"/>
      <c r="AA86" s="6"/>
      <c r="AB86" s="6"/>
      <c r="AC86" s="6"/>
      <c r="AD86" s="6"/>
      <c r="AE86" s="6"/>
      <c r="AF86" s="6"/>
      <c r="AG86" s="8"/>
      <c r="AI86" s="94"/>
      <c r="AK86" s="283"/>
      <c r="AL86" s="349"/>
      <c r="AM86" s="349"/>
      <c r="AN86" s="283"/>
      <c r="AO86" s="289"/>
      <c r="AP86" s="289"/>
      <c r="AQ86" s="289"/>
      <c r="AR86" s="289"/>
      <c r="AS86" s="289"/>
      <c r="AT86" s="289"/>
      <c r="AU86" s="283"/>
      <c r="AV86" s="283"/>
    </row>
    <row r="87" spans="2:48" x14ac:dyDescent="0.25">
      <c r="B87" s="251"/>
      <c r="C87" s="265" t="s">
        <v>397</v>
      </c>
      <c r="D87" s="21" t="str">
        <f>INDEX(Unit_Rates!$C$7:$K$134,MATCH($C87,Unit_Rates!$C$7:$C$134,0),5)</f>
        <v>Distribution system assets</v>
      </c>
      <c r="E87" s="21" t="str">
        <f>INDEX(Unit_Rates!$C$7:$K$134,MATCH($C87,Unit_Rates!$C$7:$C$134,0),6)</f>
        <v>Augmentation</v>
      </c>
      <c r="F87" s="21" t="str">
        <f>D87&amp;E87</f>
        <v>Distribution system assetsAugmentation</v>
      </c>
      <c r="G87" s="167">
        <f>INDEX(Unit_Rates!$C$7:$K$134,MATCH($C87,Unit_Rates!$C$7:$C$134,0),7)</f>
        <v>111.56299710036832</v>
      </c>
      <c r="H87" s="284">
        <v>9.3000000000000007</v>
      </c>
      <c r="I87" s="120" t="s">
        <v>322</v>
      </c>
      <c r="J87" s="106"/>
      <c r="K87" s="167">
        <f>G87*H87</f>
        <v>1037.5358730334256</v>
      </c>
      <c r="L87" s="167">
        <f>SUMPRODUCT(R$5:X$5,R87:X87)/Thousands</f>
        <v>0</v>
      </c>
      <c r="M87" s="167"/>
      <c r="N87" s="367"/>
      <c r="O87" s="367"/>
      <c r="P87" s="367"/>
      <c r="Q87" s="250">
        <f>P87-H87*VLOOKUP(C87,Unit_Rates!$C$7:$E$134,3,FALSE)</f>
        <v>0</v>
      </c>
      <c r="R87" s="131">
        <v>0</v>
      </c>
      <c r="S87" s="131">
        <v>0</v>
      </c>
      <c r="T87" s="131">
        <v>0</v>
      </c>
      <c r="U87" s="131">
        <v>0</v>
      </c>
      <c r="V87" s="131">
        <v>0</v>
      </c>
      <c r="W87" s="131">
        <v>0</v>
      </c>
      <c r="X87" s="131">
        <v>0</v>
      </c>
      <c r="Y87" s="241">
        <f>SUM(R87:X87)</f>
        <v>0</v>
      </c>
      <c r="Z87" s="6"/>
      <c r="AA87" s="6"/>
      <c r="AB87" s="6"/>
      <c r="AC87" s="6"/>
      <c r="AD87" s="6"/>
      <c r="AE87" s="6"/>
      <c r="AF87" s="6"/>
      <c r="AG87" s="8"/>
      <c r="AI87" s="94"/>
      <c r="AK87" s="283"/>
      <c r="AL87" s="349"/>
      <c r="AM87" s="349"/>
      <c r="AN87" s="283"/>
      <c r="AO87" s="289"/>
      <c r="AP87" s="289"/>
      <c r="AQ87" s="289"/>
      <c r="AR87" s="289"/>
      <c r="AS87" s="289"/>
      <c r="AT87" s="289"/>
      <c r="AU87" s="283"/>
      <c r="AV87" s="283"/>
    </row>
    <row r="88" spans="2:48" x14ac:dyDescent="0.25">
      <c r="B88" s="117"/>
      <c r="C88" s="242" t="s">
        <v>437</v>
      </c>
      <c r="D88" s="21" t="str">
        <f>Unit_Rates!G140</f>
        <v>Distribution system assets</v>
      </c>
      <c r="E88" s="21" t="s">
        <v>25</v>
      </c>
      <c r="F88" s="21" t="str">
        <f>D88&amp;E88</f>
        <v>Distribution system assetsAugmentation</v>
      </c>
      <c r="G88" s="167">
        <f>Unit_Rates!I$140</f>
        <v>0.37850311702696687</v>
      </c>
      <c r="H88" s="347">
        <v>90</v>
      </c>
      <c r="I88" s="120" t="s">
        <v>278</v>
      </c>
      <c r="K88" s="198">
        <f t="shared" ref="K88" si="39">G88*H88</f>
        <v>34.065280532427018</v>
      </c>
      <c r="L88" s="198">
        <f>SUMPRODUCT(R$5:X$5,R88:X88)/Thousands</f>
        <v>17.488073110806162</v>
      </c>
      <c r="M88" s="167">
        <f>$H88*Unit_Rates!K$140</f>
        <v>0</v>
      </c>
      <c r="N88" s="367"/>
      <c r="O88" s="367"/>
      <c r="P88" s="367"/>
      <c r="Q88" s="250">
        <f>P88-H88*Unit_Rates!E$140</f>
        <v>-118.67028203942358</v>
      </c>
      <c r="R88" s="131">
        <f>$H88*$AI88*1000*Z88/R$5</f>
        <v>2.7690132961819032</v>
      </c>
      <c r="S88" s="131">
        <f t="shared" ref="S88:X88" si="40">$H88*$AI88*1000*AA88/S$5</f>
        <v>0</v>
      </c>
      <c r="T88" s="131">
        <f t="shared" si="40"/>
        <v>31.841954192258363</v>
      </c>
      <c r="U88" s="131">
        <f t="shared" si="40"/>
        <v>0</v>
      </c>
      <c r="V88" s="131">
        <f t="shared" si="40"/>
        <v>0</v>
      </c>
      <c r="W88" s="131">
        <f t="shared" si="40"/>
        <v>0</v>
      </c>
      <c r="X88" s="131">
        <f t="shared" si="40"/>
        <v>85.476251959046564</v>
      </c>
      <c r="Y88" s="241">
        <f t="shared" ref="Y88" si="41">SUM(R88:X88)</f>
        <v>120.08721944748683</v>
      </c>
      <c r="Z88" s="6">
        <v>2.5727805595989302E-2</v>
      </c>
      <c r="AA88" s="6">
        <v>0</v>
      </c>
      <c r="AB88" s="6">
        <v>0.32115728206047139</v>
      </c>
      <c r="AC88" s="6">
        <v>0</v>
      </c>
      <c r="AD88" s="6">
        <v>0</v>
      </c>
      <c r="AE88" s="6">
        <v>0</v>
      </c>
      <c r="AF88" s="6">
        <v>0.65311491234353936</v>
      </c>
      <c r="AG88" s="8">
        <f>SUM(Z88:AF88)</f>
        <v>1</v>
      </c>
      <c r="AH88" t="b">
        <f>AG88=1</f>
        <v>1</v>
      </c>
      <c r="AI88" s="94">
        <f>Unit_Rates!$J$140</f>
        <v>0.19431192345340181</v>
      </c>
      <c r="AK88" s="281"/>
      <c r="AL88" s="349"/>
      <c r="AM88" s="349"/>
      <c r="AN88" s="283"/>
      <c r="AO88" s="289"/>
      <c r="AP88" s="289"/>
      <c r="AQ88" s="289"/>
      <c r="AR88" s="289"/>
      <c r="AS88" s="289"/>
      <c r="AT88" s="289"/>
      <c r="AU88" s="283"/>
      <c r="AV88" s="283"/>
    </row>
    <row r="89" spans="2:48" x14ac:dyDescent="0.25">
      <c r="B89" s="251"/>
      <c r="C89" s="21" t="s">
        <v>406</v>
      </c>
      <c r="D89" s="21" t="str">
        <f>INDEX(Unit_Rates!$C$7:$K$134,MATCH($C89,Unit_Rates!$C$7:$C$134,0),5)</f>
        <v>Distribution system assets</v>
      </c>
      <c r="E89" s="21" t="str">
        <f>INDEX(Unit_Rates!$C$7:$K$134,MATCH($C89,Unit_Rates!$C$7:$C$134,0),6)</f>
        <v>Replacement</v>
      </c>
      <c r="F89" s="21" t="str">
        <f t="shared" ref="F89" si="42">D89&amp;E89</f>
        <v>Distribution system assetsReplacement</v>
      </c>
      <c r="G89" s="167">
        <f>INDEX(Unit_Rates!$C$7:$K$134,MATCH($C89,Unit_Rates!$C$7:$C$134,0),7)</f>
        <v>0.66461538461538461</v>
      </c>
      <c r="H89" s="284">
        <v>31</v>
      </c>
      <c r="I89" s="245" t="s">
        <v>278</v>
      </c>
      <c r="J89" s="106"/>
      <c r="K89" s="167">
        <f>G89*H89</f>
        <v>20.603076923076923</v>
      </c>
      <c r="L89" s="167">
        <f t="shared" ref="L89:L90" si="43">SUMPRODUCT(R$5:X$5,R89:X89)/Thousands</f>
        <v>0</v>
      </c>
      <c r="M89" s="167"/>
      <c r="N89" s="367"/>
      <c r="O89" s="367"/>
      <c r="P89" s="367"/>
      <c r="Q89" s="250">
        <f>P89-H89*VLOOKUP(C89,Unit_Rates!$C$7:$E$134,3,FALSE)</f>
        <v>0</v>
      </c>
      <c r="R89" s="131">
        <v>0</v>
      </c>
      <c r="S89" s="131">
        <v>0</v>
      </c>
      <c r="T89" s="131">
        <v>0</v>
      </c>
      <c r="U89" s="131">
        <v>0</v>
      </c>
      <c r="V89" s="131">
        <v>0</v>
      </c>
      <c r="W89" s="131">
        <v>0</v>
      </c>
      <c r="X89" s="131">
        <v>0</v>
      </c>
      <c r="Y89" s="241">
        <f t="shared" si="38"/>
        <v>0</v>
      </c>
      <c r="Z89" s="6"/>
      <c r="AA89" s="6"/>
      <c r="AB89" s="6"/>
      <c r="AC89" s="6"/>
      <c r="AD89" s="6"/>
      <c r="AE89" s="6"/>
      <c r="AF89" s="6"/>
      <c r="AG89" s="8"/>
      <c r="AI89" s="95"/>
      <c r="AK89" s="283"/>
      <c r="AL89" s="349"/>
      <c r="AM89" s="349"/>
      <c r="AN89" s="283"/>
      <c r="AO89" s="289"/>
      <c r="AP89" s="289"/>
      <c r="AQ89" s="289"/>
      <c r="AR89" s="289"/>
      <c r="AS89" s="289"/>
      <c r="AT89" s="289"/>
      <c r="AU89" s="283"/>
      <c r="AV89" s="283"/>
    </row>
    <row r="90" spans="2:48" x14ac:dyDescent="0.25">
      <c r="B90" s="251"/>
      <c r="C90" s="242" t="s">
        <v>391</v>
      </c>
      <c r="D90" s="21" t="str">
        <f>INDEX(Unit_Rates!$C$7:$K$134,MATCH($C90,Unit_Rates!$C$7:$C$134,0),5)</f>
        <v>Distribution system assets</v>
      </c>
      <c r="E90" s="21" t="str">
        <f>INDEX(Unit_Rates!$C$7:$K$134,MATCH($C90,Unit_Rates!$C$7:$C$134,0),6)</f>
        <v>Replacement</v>
      </c>
      <c r="F90" s="21" t="str">
        <f>D90&amp;E90</f>
        <v>Distribution system assetsReplacement</v>
      </c>
      <c r="G90" s="167">
        <f>INDEX(Unit_Rates!$C$7:$K$134,MATCH($C90,Unit_Rates!$C$7:$C$134,0),7)</f>
        <v>6.06</v>
      </c>
      <c r="H90" s="284">
        <v>20</v>
      </c>
      <c r="I90" s="245" t="s">
        <v>322</v>
      </c>
      <c r="J90" s="106"/>
      <c r="K90" s="167">
        <f t="shared" ref="K90" si="44">G90*H90</f>
        <v>121.19999999999999</v>
      </c>
      <c r="L90" s="167">
        <f t="shared" si="43"/>
        <v>0</v>
      </c>
      <c r="M90" s="167"/>
      <c r="N90" s="367"/>
      <c r="O90" s="367"/>
      <c r="P90" s="367"/>
      <c r="Q90" s="250">
        <f>P90-H90*VLOOKUP(C90,Unit_Rates!$C$7:$E$134,3,FALSE)</f>
        <v>0</v>
      </c>
      <c r="R90" s="131">
        <v>0</v>
      </c>
      <c r="S90" s="131">
        <v>0</v>
      </c>
      <c r="T90" s="131">
        <v>0</v>
      </c>
      <c r="U90" s="131">
        <v>0</v>
      </c>
      <c r="V90" s="131">
        <v>0</v>
      </c>
      <c r="W90" s="131">
        <v>0</v>
      </c>
      <c r="X90" s="131">
        <v>0</v>
      </c>
      <c r="Y90" s="241">
        <f t="shared" si="38"/>
        <v>0</v>
      </c>
      <c r="Z90" s="6"/>
      <c r="AA90" s="6"/>
      <c r="AB90" s="6"/>
      <c r="AC90" s="6"/>
      <c r="AD90" s="6"/>
      <c r="AE90" s="6"/>
      <c r="AF90" s="6"/>
      <c r="AG90" s="8"/>
      <c r="AI90" s="95"/>
      <c r="AK90" s="283"/>
      <c r="AL90" s="349"/>
      <c r="AM90" s="349"/>
      <c r="AN90" s="283"/>
      <c r="AO90" s="289"/>
      <c r="AP90" s="289"/>
      <c r="AQ90" s="289"/>
      <c r="AR90" s="289"/>
      <c r="AS90" s="289"/>
      <c r="AT90" s="289"/>
      <c r="AU90" s="283"/>
      <c r="AV90" s="283"/>
    </row>
    <row r="91" spans="2:48" x14ac:dyDescent="0.25">
      <c r="B91" s="270" t="s">
        <v>405</v>
      </c>
      <c r="C91" s="242"/>
      <c r="D91" s="21"/>
      <c r="E91" s="21"/>
      <c r="F91" s="21"/>
      <c r="G91" s="167"/>
      <c r="H91" s="249"/>
      <c r="I91" s="245"/>
      <c r="J91" s="242"/>
      <c r="K91" s="167"/>
      <c r="L91" s="167"/>
      <c r="M91" s="167"/>
      <c r="N91" s="167"/>
      <c r="O91" s="167"/>
      <c r="P91" s="167"/>
      <c r="Q91" s="250"/>
      <c r="R91" s="184"/>
      <c r="S91" s="184"/>
      <c r="T91" s="184"/>
      <c r="U91" s="184"/>
      <c r="V91" s="184"/>
      <c r="W91" s="184"/>
      <c r="X91" s="184"/>
      <c r="Y91" s="75"/>
      <c r="Z91" s="6"/>
      <c r="AA91" s="6"/>
      <c r="AB91" s="6"/>
      <c r="AC91" s="6"/>
      <c r="AD91" s="6"/>
      <c r="AE91" s="6"/>
      <c r="AF91" s="6"/>
      <c r="AG91" s="8"/>
      <c r="AI91" s="95"/>
      <c r="AK91" s="283"/>
      <c r="AL91" s="349"/>
      <c r="AM91" s="349"/>
      <c r="AN91" s="283"/>
      <c r="AO91" s="289"/>
      <c r="AP91" s="289"/>
      <c r="AQ91" s="289"/>
      <c r="AR91" s="289"/>
      <c r="AS91" s="289"/>
      <c r="AT91" s="289"/>
      <c r="AU91" s="283"/>
      <c r="AV91" s="283"/>
    </row>
    <row r="92" spans="2:48" x14ac:dyDescent="0.25">
      <c r="B92" s="117"/>
      <c r="C92" s="242" t="s">
        <v>348</v>
      </c>
      <c r="D92" s="21" t="str">
        <f>INDEX(Unit_Rates!$C$7:$K$134,MATCH($C92,Unit_Rates!$C$7:$C$134,0),5)</f>
        <v>Subtransmission</v>
      </c>
      <c r="E92" s="21" t="str">
        <f>INDEX(Unit_Rates!$C$7:$K$134,MATCH($C92,Unit_Rates!$C$7:$C$134,0),6)</f>
        <v>Augmentation</v>
      </c>
      <c r="F92" s="21" t="str">
        <f t="shared" ref="F92" si="45">D92&amp;E92</f>
        <v>SubtransmissionAugmentation</v>
      </c>
      <c r="G92" s="167">
        <f>INDEX(Unit_Rates!$C$7:$K$134,MATCH($C92,Unit_Rates!$C$7:$C$134,0),7)</f>
        <v>0</v>
      </c>
      <c r="H92" s="332">
        <v>1.0050000000000001</v>
      </c>
      <c r="I92" s="120" t="s">
        <v>322</v>
      </c>
      <c r="J92" s="106"/>
      <c r="K92" s="197">
        <f t="shared" ref="K92" si="46">G92*H92</f>
        <v>0</v>
      </c>
      <c r="L92" s="197">
        <f t="shared" ref="L92" si="47">SUMPRODUCT(R$5:X$5,R92:X92)/Thousands</f>
        <v>0</v>
      </c>
      <c r="M92" s="197"/>
      <c r="N92" s="369"/>
      <c r="O92" s="369"/>
      <c r="P92" s="369"/>
      <c r="Q92" s="250">
        <f>P92-H92*VLOOKUP(C92,Unit_Rates!$C$7:$E$134,3,FALSE)</f>
        <v>0</v>
      </c>
      <c r="R92" s="131">
        <v>0</v>
      </c>
      <c r="S92" s="131">
        <v>0</v>
      </c>
      <c r="T92" s="131">
        <v>0</v>
      </c>
      <c r="U92" s="131">
        <v>0</v>
      </c>
      <c r="V92" s="131">
        <v>0</v>
      </c>
      <c r="W92" s="131">
        <v>0</v>
      </c>
      <c r="X92" s="131">
        <v>0</v>
      </c>
      <c r="Y92" s="241">
        <f t="shared" si="38"/>
        <v>0</v>
      </c>
      <c r="Z92" s="6"/>
      <c r="AA92" s="6"/>
      <c r="AB92" s="6"/>
      <c r="AC92" s="6"/>
      <c r="AD92" s="6"/>
      <c r="AE92" s="6"/>
      <c r="AF92" s="6"/>
      <c r="AG92" s="8"/>
      <c r="AI92" s="95"/>
      <c r="AK92" s="283"/>
      <c r="AL92" s="349"/>
      <c r="AM92" s="349"/>
      <c r="AN92" s="283"/>
      <c r="AO92" s="289"/>
      <c r="AP92" s="289"/>
      <c r="AQ92" s="289"/>
      <c r="AR92" s="289"/>
      <c r="AS92" s="289"/>
      <c r="AT92" s="289"/>
      <c r="AU92" s="283"/>
      <c r="AV92" s="283"/>
    </row>
    <row r="93" spans="2:48" x14ac:dyDescent="0.25">
      <c r="B93" s="117"/>
      <c r="C93" s="21" t="s">
        <v>401</v>
      </c>
      <c r="G93" s="198"/>
      <c r="H93" s="119"/>
      <c r="I93" s="164"/>
      <c r="K93" s="198">
        <v>1630.8521363707262</v>
      </c>
      <c r="L93" s="198">
        <v>17.488073110806162</v>
      </c>
      <c r="M93" s="167">
        <v>0</v>
      </c>
      <c r="N93" s="167">
        <v>2374.5526713523491</v>
      </c>
      <c r="O93" s="167">
        <v>270.21592315181209</v>
      </c>
      <c r="P93" s="167">
        <v>4293.1088039856932</v>
      </c>
      <c r="Q93" s="160"/>
      <c r="R93" s="124"/>
      <c r="S93" s="124"/>
      <c r="T93" s="124"/>
      <c r="U93" s="124"/>
      <c r="V93" s="124"/>
      <c r="W93" s="124"/>
      <c r="X93" s="124"/>
      <c r="AI93" s="95"/>
      <c r="AK93" s="283"/>
      <c r="AL93" s="349"/>
      <c r="AM93" s="349"/>
      <c r="AN93" s="283"/>
      <c r="AO93" s="289"/>
      <c r="AP93" s="289"/>
      <c r="AQ93" s="289"/>
      <c r="AR93" s="289"/>
      <c r="AS93" s="289"/>
      <c r="AT93" s="289"/>
      <c r="AU93" s="283"/>
      <c r="AV93" s="283"/>
    </row>
    <row r="94" spans="2:48" x14ac:dyDescent="0.25">
      <c r="B94" s="117"/>
      <c r="G94" s="198"/>
      <c r="H94" s="119"/>
      <c r="I94" s="164"/>
      <c r="K94" s="198"/>
      <c r="L94" s="198"/>
      <c r="M94" s="167"/>
      <c r="N94" s="167"/>
      <c r="O94" s="167"/>
      <c r="P94" s="167"/>
      <c r="Q94" s="160"/>
      <c r="R94" s="124"/>
      <c r="S94" s="124"/>
      <c r="T94" s="124"/>
      <c r="U94" s="124"/>
      <c r="V94" s="124"/>
      <c r="W94" s="124"/>
      <c r="X94" s="124"/>
      <c r="AI94" s="95"/>
      <c r="AK94" s="283"/>
      <c r="AL94" s="349"/>
      <c r="AM94" s="349"/>
      <c r="AN94" s="283"/>
      <c r="AO94" s="289"/>
      <c r="AP94" s="289"/>
      <c r="AQ94" s="289"/>
      <c r="AR94" s="289"/>
      <c r="AS94" s="289"/>
      <c r="AT94" s="289"/>
      <c r="AU94" s="283"/>
      <c r="AV94" s="283"/>
    </row>
    <row r="95" spans="2:48" x14ac:dyDescent="0.25">
      <c r="B95" s="269" t="s">
        <v>400</v>
      </c>
      <c r="G95" s="198"/>
      <c r="H95" s="119"/>
      <c r="I95" s="164"/>
      <c r="K95" s="198"/>
      <c r="L95" s="198"/>
      <c r="M95" s="167"/>
      <c r="N95" s="167"/>
      <c r="O95" s="167"/>
      <c r="P95" s="167"/>
      <c r="Q95" s="160"/>
      <c r="R95" s="124"/>
      <c r="S95" s="124"/>
      <c r="T95" s="124"/>
      <c r="U95" s="124"/>
      <c r="V95" s="124"/>
      <c r="W95" s="124"/>
      <c r="X95" s="124"/>
      <c r="AI95" s="95"/>
      <c r="AK95" s="283"/>
      <c r="AL95" s="349"/>
      <c r="AM95" s="349"/>
      <c r="AN95" s="283"/>
      <c r="AO95" s="289"/>
      <c r="AP95" s="289"/>
      <c r="AQ95" s="289"/>
      <c r="AR95" s="289"/>
      <c r="AS95" s="289"/>
      <c r="AT95" s="289"/>
      <c r="AU95" s="283"/>
      <c r="AV95" s="283"/>
    </row>
    <row r="96" spans="2:48" x14ac:dyDescent="0.25">
      <c r="B96" s="117"/>
      <c r="C96" s="21" t="s">
        <v>380</v>
      </c>
      <c r="D96" s="21" t="str">
        <f>INDEX(Unit_Rates!$C$7:$K$134,MATCH($C96,Unit_Rates!$C$7:$C$134,0),5)</f>
        <v>Distribution system assets</v>
      </c>
      <c r="E96" s="21" t="str">
        <f>INDEX(Unit_Rates!$C$7:$K$134,MATCH($C96,Unit_Rates!$C$7:$C$134,0),6)</f>
        <v>Augmentation</v>
      </c>
      <c r="F96" s="21" t="str">
        <f t="shared" ref="F96:F99" si="48">D96&amp;E96</f>
        <v>Distribution system assetsAugmentation</v>
      </c>
      <c r="G96" s="167">
        <f>INDEX(Unit_Rates!$C$7:$K$134,MATCH($C96,Unit_Rates!$C$7:$C$134,0),7)</f>
        <v>6.4197386759582073E-2</v>
      </c>
      <c r="H96" s="331">
        <v>200</v>
      </c>
      <c r="I96" s="120" t="s">
        <v>403</v>
      </c>
      <c r="K96" s="198">
        <f t="shared" ref="K96:K100" si="49">G96*H96</f>
        <v>12.839477351916415</v>
      </c>
      <c r="L96" s="198">
        <f t="shared" ref="L96:L100" si="50">SUMPRODUCT(R$5:X$5,R96:X96)/Thousands</f>
        <v>0</v>
      </c>
      <c r="M96" s="167"/>
      <c r="N96" s="367"/>
      <c r="O96" s="367"/>
      <c r="P96" s="367"/>
      <c r="Q96" s="250">
        <f>P96-H96*VLOOKUP(C96,Unit_Rates!$C$7:$E$134,3,FALSE)</f>
        <v>0</v>
      </c>
      <c r="R96" s="131">
        <v>0</v>
      </c>
      <c r="S96" s="131">
        <v>0</v>
      </c>
      <c r="T96" s="131">
        <v>0</v>
      </c>
      <c r="U96" s="131">
        <v>0</v>
      </c>
      <c r="V96" s="131">
        <v>0</v>
      </c>
      <c r="W96" s="131">
        <v>0</v>
      </c>
      <c r="X96" s="131">
        <v>0</v>
      </c>
      <c r="Y96" s="241">
        <f t="shared" ref="Y96:Y100" si="51">SUM(R96:X96)</f>
        <v>0</v>
      </c>
      <c r="AI96" s="95"/>
      <c r="AK96" s="283"/>
      <c r="AL96" s="349"/>
      <c r="AM96" s="349"/>
      <c r="AN96" s="283"/>
      <c r="AO96" s="289"/>
      <c r="AP96" s="289"/>
      <c r="AQ96" s="289"/>
      <c r="AR96" s="289"/>
      <c r="AS96" s="289"/>
      <c r="AT96" s="289"/>
      <c r="AU96" s="283"/>
      <c r="AV96" s="283"/>
    </row>
    <row r="97" spans="2:48" x14ac:dyDescent="0.25">
      <c r="B97" s="117"/>
      <c r="C97" s="21" t="s">
        <v>386</v>
      </c>
      <c r="D97" s="21" t="str">
        <f>INDEX(Unit_Rates!$C$7:$K$134,MATCH($C97,Unit_Rates!$C$7:$C$134,0),5)</f>
        <v>Distribution system assets</v>
      </c>
      <c r="E97" s="21" t="str">
        <f>INDEX(Unit_Rates!$C$7:$K$134,MATCH($C97,Unit_Rates!$C$7:$C$134,0),6)</f>
        <v>Augmentation</v>
      </c>
      <c r="F97" s="21" t="str">
        <f t="shared" si="48"/>
        <v>Distribution system assetsAugmentation</v>
      </c>
      <c r="G97" s="167">
        <f>INDEX(Unit_Rates!$C$7:$K$134,MATCH($C97,Unit_Rates!$C$7:$C$134,0),7)</f>
        <v>4.3774577767537882E-2</v>
      </c>
      <c r="H97" s="331">
        <v>450</v>
      </c>
      <c r="I97" s="120" t="s">
        <v>403</v>
      </c>
      <c r="K97" s="198">
        <f t="shared" si="49"/>
        <v>19.698559995392046</v>
      </c>
      <c r="L97" s="198">
        <f t="shared" si="50"/>
        <v>0</v>
      </c>
      <c r="M97" s="167"/>
      <c r="N97" s="367"/>
      <c r="O97" s="367"/>
      <c r="P97" s="367"/>
      <c r="Q97" s="250">
        <f>P97-H97*VLOOKUP(C97,Unit_Rates!$C$7:$E$134,3,FALSE)</f>
        <v>0</v>
      </c>
      <c r="R97" s="131">
        <v>0</v>
      </c>
      <c r="S97" s="131">
        <v>0</v>
      </c>
      <c r="T97" s="131">
        <v>0</v>
      </c>
      <c r="U97" s="131">
        <v>0</v>
      </c>
      <c r="V97" s="131">
        <v>0</v>
      </c>
      <c r="W97" s="131">
        <v>0</v>
      </c>
      <c r="X97" s="131">
        <v>0</v>
      </c>
      <c r="Y97" s="241">
        <f t="shared" si="51"/>
        <v>0</v>
      </c>
      <c r="AI97" s="95"/>
      <c r="AK97" s="283"/>
      <c r="AL97" s="349"/>
      <c r="AM97" s="349"/>
      <c r="AN97" s="283"/>
      <c r="AO97" s="289"/>
      <c r="AP97" s="289"/>
      <c r="AQ97" s="289"/>
      <c r="AR97" s="289"/>
      <c r="AS97" s="289"/>
      <c r="AT97" s="289"/>
      <c r="AU97" s="283"/>
      <c r="AV97" s="283"/>
    </row>
    <row r="98" spans="2:48" x14ac:dyDescent="0.25">
      <c r="B98" s="117"/>
      <c r="C98" s="21" t="s">
        <v>387</v>
      </c>
      <c r="D98" s="21" t="str">
        <f>INDEX(Unit_Rates!$C$7:$K$134,MATCH($C98,Unit_Rates!$C$7:$C$134,0),5)</f>
        <v>Distribution system assets</v>
      </c>
      <c r="E98" s="21" t="str">
        <f>INDEX(Unit_Rates!$C$7:$K$134,MATCH($C98,Unit_Rates!$C$7:$C$134,0),6)</f>
        <v>Augmentation</v>
      </c>
      <c r="F98" s="21" t="str">
        <f t="shared" si="48"/>
        <v>Distribution system assetsAugmentation</v>
      </c>
      <c r="G98" s="167">
        <f>INDEX(Unit_Rates!$C$7:$K$134,MATCH($C98,Unit_Rates!$C$7:$C$134,0),7)</f>
        <v>3.1911672473867689</v>
      </c>
      <c r="H98" s="331">
        <v>8</v>
      </c>
      <c r="I98" s="120" t="s">
        <v>278</v>
      </c>
      <c r="K98" s="198">
        <f t="shared" si="49"/>
        <v>25.529337979094151</v>
      </c>
      <c r="L98" s="198">
        <f t="shared" si="50"/>
        <v>0</v>
      </c>
      <c r="M98" s="167"/>
      <c r="N98" s="367"/>
      <c r="O98" s="367"/>
      <c r="P98" s="367"/>
      <c r="Q98" s="250">
        <f>P98-H98*VLOOKUP(C98,Unit_Rates!$C$7:$E$134,3,FALSE)</f>
        <v>0</v>
      </c>
      <c r="R98" s="131">
        <v>0</v>
      </c>
      <c r="S98" s="131">
        <v>0</v>
      </c>
      <c r="T98" s="131">
        <v>0</v>
      </c>
      <c r="U98" s="131">
        <v>0</v>
      </c>
      <c r="V98" s="131">
        <v>0</v>
      </c>
      <c r="W98" s="131">
        <v>0</v>
      </c>
      <c r="X98" s="131">
        <v>0</v>
      </c>
      <c r="Y98" s="241">
        <f t="shared" si="51"/>
        <v>0</v>
      </c>
      <c r="AI98" s="95"/>
      <c r="AK98" s="233"/>
      <c r="AL98" s="288"/>
      <c r="AM98" s="283"/>
      <c r="AN98" s="283"/>
      <c r="AO98" s="289"/>
      <c r="AP98" s="289"/>
      <c r="AQ98" s="289"/>
      <c r="AR98" s="289"/>
      <c r="AS98" s="289"/>
      <c r="AT98" s="289"/>
      <c r="AU98" s="283"/>
      <c r="AV98" s="283"/>
    </row>
    <row r="99" spans="2:48" x14ac:dyDescent="0.25">
      <c r="B99" s="117"/>
      <c r="C99" s="242" t="s">
        <v>391</v>
      </c>
      <c r="D99" s="21" t="str">
        <f>INDEX(Unit_Rates!$C$7:$K$134,MATCH($C99,Unit_Rates!$C$7:$C$134,0),5)</f>
        <v>Distribution system assets</v>
      </c>
      <c r="E99" s="21" t="str">
        <f>INDEX(Unit_Rates!$C$7:$K$134,MATCH($C99,Unit_Rates!$C$7:$C$134,0),6)</f>
        <v>Replacement</v>
      </c>
      <c r="F99" s="21" t="str">
        <f t="shared" si="48"/>
        <v>Distribution system assetsReplacement</v>
      </c>
      <c r="G99" s="167">
        <f>INDEX(Unit_Rates!$C$7:$K$134,MATCH($C99,Unit_Rates!$C$7:$C$134,0),7)</f>
        <v>6.06</v>
      </c>
      <c r="H99" s="331">
        <v>4</v>
      </c>
      <c r="I99" s="120" t="s">
        <v>278</v>
      </c>
      <c r="K99" s="198">
        <f t="shared" si="49"/>
        <v>24.24</v>
      </c>
      <c r="L99" s="198">
        <f t="shared" si="50"/>
        <v>0</v>
      </c>
      <c r="M99" s="167"/>
      <c r="N99" s="367"/>
      <c r="O99" s="367"/>
      <c r="P99" s="367"/>
      <c r="Q99" s="250">
        <f>P99-H99*VLOOKUP(C99,Unit_Rates!$C$7:$E$134,3,FALSE)</f>
        <v>0</v>
      </c>
      <c r="R99" s="131">
        <v>0</v>
      </c>
      <c r="S99" s="131">
        <v>0</v>
      </c>
      <c r="T99" s="131">
        <v>0</v>
      </c>
      <c r="U99" s="131">
        <v>0</v>
      </c>
      <c r="V99" s="131">
        <v>0</v>
      </c>
      <c r="W99" s="131">
        <v>0</v>
      </c>
      <c r="X99" s="131">
        <v>0</v>
      </c>
      <c r="Y99" s="241">
        <f t="shared" si="51"/>
        <v>0</v>
      </c>
      <c r="AI99" s="95"/>
      <c r="AK99" s="233"/>
      <c r="AL99" s="288"/>
      <c r="AM99" s="283"/>
      <c r="AN99" s="283"/>
      <c r="AO99" s="283"/>
      <c r="AP99" s="283"/>
      <c r="AQ99" s="283"/>
      <c r="AR99" s="283"/>
      <c r="AS99" s="283"/>
      <c r="AT99" s="283"/>
      <c r="AU99" s="283"/>
      <c r="AV99" s="283"/>
    </row>
    <row r="100" spans="2:48" x14ac:dyDescent="0.25">
      <c r="B100" s="117"/>
      <c r="C100" s="21" t="s">
        <v>216</v>
      </c>
      <c r="D100" s="21" t="str">
        <f>INDEX(Unit_Rates!$C$7:$K$134,MATCH($C100,Unit_Rates!$C$7:$C$134,0),5)</f>
        <v>Distribution system assets</v>
      </c>
      <c r="E100" s="21" t="str">
        <f>INDEX(Unit_Rates!$C$7:$K$134,MATCH($C100,Unit_Rates!$C$7:$C$134,0),6)</f>
        <v>Augmentation</v>
      </c>
      <c r="F100" s="21" t="str">
        <f t="shared" ref="F100" si="52">D100&amp;E100</f>
        <v>Distribution system assetsAugmentation</v>
      </c>
      <c r="G100" s="167">
        <f>INDEX(Unit_Rates!$C$7:$K$134,MATCH($C100,Unit_Rates!$C$7:$C$134,0),7)</f>
        <v>22.603922249219018</v>
      </c>
      <c r="H100" s="331">
        <v>1</v>
      </c>
      <c r="I100" s="120" t="s">
        <v>278</v>
      </c>
      <c r="K100" s="215">
        <f t="shared" si="49"/>
        <v>22.603922249219018</v>
      </c>
      <c r="L100" s="215">
        <f t="shared" si="50"/>
        <v>20.350826596208069</v>
      </c>
      <c r="M100" s="197">
        <f>$H100*INDEX(Unit_Rates!$C$7:$M$134,MATCH($C100,Unit_Rates!$C$7:$C$134,0),9)</f>
        <v>4.7858004636387212</v>
      </c>
      <c r="N100" s="369"/>
      <c r="O100" s="369"/>
      <c r="P100" s="369"/>
      <c r="Q100" s="250">
        <f>P100-H100*VLOOKUP(C100,Unit_Rates!$C$7:$E$134,3,FALSE)</f>
        <v>-80.368821395059754</v>
      </c>
      <c r="R100" s="131">
        <f>$H100*$AI100*1000*Z100/R$5</f>
        <v>37.96809981831619</v>
      </c>
      <c r="S100" s="131">
        <f t="shared" ref="S100:T100" si="53">$H100*$AI100*1000*AA100/S$5</f>
        <v>43.504015979090326</v>
      </c>
      <c r="T100" s="131">
        <f t="shared" si="53"/>
        <v>42.96124778462822</v>
      </c>
      <c r="U100" s="131">
        <v>0</v>
      </c>
      <c r="V100" s="131">
        <v>0</v>
      </c>
      <c r="W100" s="131">
        <v>0</v>
      </c>
      <c r="X100" s="131">
        <v>0</v>
      </c>
      <c r="Y100" s="241">
        <f t="shared" si="51"/>
        <v>124.43336358203473</v>
      </c>
      <c r="Z100" s="223">
        <v>0.30314923274650007</v>
      </c>
      <c r="AA100" s="223">
        <v>0.32449777026385923</v>
      </c>
      <c r="AB100" s="223">
        <v>0.37235299698964058</v>
      </c>
      <c r="AC100" s="223">
        <v>0</v>
      </c>
      <c r="AD100" s="223">
        <v>0</v>
      </c>
      <c r="AE100" s="223">
        <v>0</v>
      </c>
      <c r="AF100" s="223">
        <v>0</v>
      </c>
      <c r="AG100" s="221">
        <f>SUM(Z100:AF100)</f>
        <v>1</v>
      </c>
      <c r="AH100" s="21" t="b">
        <f>AG100=1</f>
        <v>1</v>
      </c>
      <c r="AI100" s="94">
        <f>Unit_Rates!$J$132</f>
        <v>20.350826596208069</v>
      </c>
      <c r="AL100" s="333"/>
      <c r="AM100" s="217"/>
      <c r="AN100" s="217"/>
      <c r="AO100" s="217"/>
      <c r="AP100" s="217"/>
      <c r="AQ100" s="217"/>
      <c r="AR100" s="217"/>
      <c r="AS100" s="217"/>
      <c r="AT100" s="217"/>
      <c r="AU100" s="283"/>
      <c r="AV100" s="283"/>
    </row>
    <row r="101" spans="2:48" x14ac:dyDescent="0.25">
      <c r="B101" s="117"/>
      <c r="C101" s="21" t="s">
        <v>402</v>
      </c>
      <c r="G101" s="163"/>
      <c r="H101" s="119"/>
      <c r="I101" s="164"/>
      <c r="K101" s="198">
        <v>104.91129757562163</v>
      </c>
      <c r="L101" s="198">
        <v>20.350826596208069</v>
      </c>
      <c r="M101" s="198">
        <v>4.7858004636387212</v>
      </c>
      <c r="N101" s="198">
        <v>529.59103047469671</v>
      </c>
      <c r="O101" s="198">
        <v>7.9687002311189357</v>
      </c>
      <c r="P101" s="198">
        <v>667.60765534128416</v>
      </c>
      <c r="R101" s="124"/>
      <c r="S101" s="124"/>
      <c r="T101" s="124"/>
      <c r="U101" s="124"/>
      <c r="V101" s="124"/>
      <c r="W101" s="124"/>
      <c r="X101" s="124"/>
      <c r="AI101" s="95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83"/>
      <c r="AV101" s="283"/>
    </row>
    <row r="102" spans="2:48" x14ac:dyDescent="0.25">
      <c r="B102" s="117"/>
      <c r="G102" s="163"/>
      <c r="H102" s="119"/>
      <c r="I102" s="164"/>
      <c r="K102" s="198"/>
      <c r="L102" s="198"/>
      <c r="M102" s="198"/>
      <c r="N102" s="198"/>
      <c r="O102" s="198"/>
      <c r="P102" s="198"/>
      <c r="R102" s="124"/>
      <c r="S102" s="124"/>
      <c r="T102" s="124"/>
      <c r="U102" s="124"/>
      <c r="V102" s="124"/>
      <c r="W102" s="124"/>
      <c r="X102" s="124"/>
      <c r="AI102" s="95"/>
      <c r="AK102" s="283"/>
      <c r="AL102" s="283"/>
      <c r="AM102" s="283"/>
      <c r="AN102" s="283"/>
      <c r="AO102" s="289"/>
      <c r="AP102" s="289"/>
      <c r="AQ102" s="289"/>
      <c r="AR102" s="289"/>
      <c r="AS102" s="289"/>
      <c r="AT102" s="289"/>
      <c r="AU102" s="283"/>
      <c r="AV102" s="283"/>
    </row>
    <row r="103" spans="2:48" x14ac:dyDescent="0.25">
      <c r="B103" s="248" t="s">
        <v>399</v>
      </c>
      <c r="G103" s="163"/>
      <c r="H103" s="119"/>
      <c r="I103" s="164"/>
      <c r="K103" s="198"/>
      <c r="L103" s="198"/>
      <c r="M103" s="167"/>
      <c r="N103" s="167"/>
      <c r="O103" s="167"/>
      <c r="P103" s="196"/>
      <c r="R103" s="124"/>
      <c r="S103" s="124"/>
      <c r="T103" s="124"/>
      <c r="U103" s="124"/>
      <c r="V103" s="124"/>
      <c r="W103" s="124"/>
      <c r="X103" s="124"/>
      <c r="Y103" s="75"/>
      <c r="Z103" s="6"/>
      <c r="AA103" s="6"/>
      <c r="AB103" s="6"/>
      <c r="AC103" s="6"/>
      <c r="AD103" s="6"/>
      <c r="AE103" s="6"/>
      <c r="AF103" s="6"/>
      <c r="AG103" s="8"/>
      <c r="AI103" s="95"/>
      <c r="AK103" s="283"/>
      <c r="AL103" s="283"/>
      <c r="AM103" s="283"/>
      <c r="AN103" s="283"/>
      <c r="AO103" s="289"/>
      <c r="AP103" s="289"/>
      <c r="AQ103" s="289"/>
      <c r="AR103" s="289"/>
      <c r="AS103" s="289"/>
      <c r="AT103" s="289"/>
      <c r="AU103" s="283"/>
      <c r="AV103" s="283"/>
    </row>
    <row r="104" spans="2:48" x14ac:dyDescent="0.25">
      <c r="B104" s="269" t="s">
        <v>395</v>
      </c>
      <c r="G104" s="167"/>
      <c r="H104" s="243"/>
      <c r="I104" s="120"/>
      <c r="K104" s="198"/>
      <c r="L104" s="198"/>
      <c r="M104" s="167"/>
      <c r="N104" s="167"/>
      <c r="O104" s="167"/>
      <c r="P104" s="167"/>
      <c r="Q104" s="160"/>
      <c r="R104" s="184"/>
      <c r="S104" s="184"/>
      <c r="T104" s="184"/>
      <c r="U104" s="184"/>
      <c r="V104" s="184"/>
      <c r="W104" s="184"/>
      <c r="X104" s="184"/>
      <c r="Y104" s="75"/>
      <c r="Z104" s="6"/>
      <c r="AA104" s="6"/>
      <c r="AB104" s="6"/>
      <c r="AC104" s="6"/>
      <c r="AD104" s="6"/>
      <c r="AE104" s="6"/>
      <c r="AF104" s="6"/>
      <c r="AG104" s="8"/>
      <c r="AI104" s="95"/>
      <c r="AK104" s="283"/>
      <c r="AL104" s="283"/>
      <c r="AM104" s="283"/>
      <c r="AN104" s="283"/>
      <c r="AO104" s="289"/>
      <c r="AP104" s="289"/>
      <c r="AQ104" s="289"/>
      <c r="AR104" s="289"/>
      <c r="AS104" s="289"/>
      <c r="AT104" s="289"/>
      <c r="AU104" s="283"/>
      <c r="AV104" s="283"/>
    </row>
    <row r="105" spans="2:48" x14ac:dyDescent="0.25">
      <c r="B105" s="251"/>
      <c r="C105" s="242" t="s">
        <v>390</v>
      </c>
      <c r="D105" s="21" t="str">
        <f>INDEX(Unit_Rates!$C$7:$K$134,MATCH($C105,Unit_Rates!$C$7:$C$134,0),5)</f>
        <v>Distribution system assets</v>
      </c>
      <c r="E105" s="21" t="str">
        <f>INDEX(Unit_Rates!$C$7:$K$134,MATCH($C105,Unit_Rates!$C$7:$C$134,0),6)</f>
        <v>Replacement</v>
      </c>
      <c r="F105" s="21" t="str">
        <f t="shared" ref="F105:F106" si="54">D105&amp;E105</f>
        <v>Distribution system assetsReplacement</v>
      </c>
      <c r="G105" s="167">
        <f>INDEX(Unit_Rates!$C$7:$K$134,MATCH($C105,Unit_Rates!$C$7:$C$134,0),7)</f>
        <v>0</v>
      </c>
      <c r="H105" s="199">
        <v>16.079999999999998</v>
      </c>
      <c r="I105" s="120" t="s">
        <v>322</v>
      </c>
      <c r="K105" s="167">
        <f>G105*H105</f>
        <v>0</v>
      </c>
      <c r="L105" s="167">
        <f t="shared" ref="L105:L106" si="55">SUMPRODUCT(R$5:X$5,R105:X105)/Thousands</f>
        <v>0</v>
      </c>
      <c r="M105" s="167"/>
      <c r="N105" s="367"/>
      <c r="O105" s="367"/>
      <c r="P105" s="367"/>
      <c r="Q105" s="250">
        <f>P105-H105*VLOOKUP(C105,Unit_Rates!$C$7:$E$134,3,FALSE)</f>
        <v>0</v>
      </c>
      <c r="R105" s="131">
        <v>0</v>
      </c>
      <c r="S105" s="131">
        <v>0</v>
      </c>
      <c r="T105" s="131">
        <v>0</v>
      </c>
      <c r="U105" s="131">
        <v>0</v>
      </c>
      <c r="V105" s="131">
        <v>0</v>
      </c>
      <c r="W105" s="131">
        <v>0</v>
      </c>
      <c r="X105" s="131">
        <v>0</v>
      </c>
      <c r="Y105" s="241">
        <f t="shared" ref="Y105:Y106" si="56">SUM(R105:X105)</f>
        <v>0</v>
      </c>
      <c r="Z105" s="223"/>
      <c r="AA105" s="223"/>
      <c r="AB105" s="223"/>
      <c r="AC105" s="223"/>
      <c r="AD105" s="223"/>
      <c r="AE105" s="223"/>
      <c r="AF105" s="223"/>
      <c r="AG105" s="221"/>
      <c r="AH105" s="21"/>
      <c r="AI105" s="94"/>
      <c r="AK105" s="283"/>
      <c r="AL105" s="283"/>
      <c r="AM105" s="283"/>
      <c r="AN105" s="283"/>
      <c r="AO105" s="289"/>
      <c r="AP105" s="289"/>
      <c r="AQ105" s="289"/>
      <c r="AR105" s="289"/>
      <c r="AS105" s="289"/>
      <c r="AT105" s="289"/>
      <c r="AU105" s="283"/>
      <c r="AV105" s="283"/>
    </row>
    <row r="106" spans="2:48" x14ac:dyDescent="0.25">
      <c r="B106" s="251"/>
      <c r="C106" s="21" t="s">
        <v>396</v>
      </c>
      <c r="D106" s="21" t="str">
        <f>INDEX(Unit_Rates!$C$7:$K$134,MATCH($C106,Unit_Rates!$C$7:$C$134,0),5)</f>
        <v>Distribution system assets</v>
      </c>
      <c r="E106" s="21" t="str">
        <f>INDEX(Unit_Rates!$C$7:$K$134,MATCH($C106,Unit_Rates!$C$7:$C$134,0),6)</f>
        <v>Augmentation</v>
      </c>
      <c r="F106" s="21" t="str">
        <f t="shared" si="54"/>
        <v>Distribution system assetsAugmentation</v>
      </c>
      <c r="G106" s="167">
        <f>INDEX(Unit_Rates!$C$7:$K$134,MATCH($C106,Unit_Rates!$C$7:$C$134,0),7)</f>
        <v>131.47965539584138</v>
      </c>
      <c r="H106" s="199">
        <v>9.81</v>
      </c>
      <c r="I106" s="120" t="s">
        <v>322</v>
      </c>
      <c r="K106" s="167">
        <f>G106*H106</f>
        <v>1289.8154194332039</v>
      </c>
      <c r="L106" s="167">
        <f t="shared" si="55"/>
        <v>0</v>
      </c>
      <c r="M106" s="167"/>
      <c r="N106" s="367"/>
      <c r="O106" s="367"/>
      <c r="P106" s="367"/>
      <c r="Q106" s="250">
        <f>P106-H106*VLOOKUP(C106,Unit_Rates!$C$7:$E$134,3,FALSE)</f>
        <v>0</v>
      </c>
      <c r="R106" s="131">
        <v>0</v>
      </c>
      <c r="S106" s="131">
        <v>0</v>
      </c>
      <c r="T106" s="131">
        <v>0</v>
      </c>
      <c r="U106" s="131">
        <v>0</v>
      </c>
      <c r="V106" s="131">
        <v>0</v>
      </c>
      <c r="W106" s="131">
        <v>0</v>
      </c>
      <c r="X106" s="131">
        <v>0</v>
      </c>
      <c r="Y106" s="241">
        <f t="shared" si="56"/>
        <v>0</v>
      </c>
      <c r="Z106" s="6"/>
      <c r="AA106" s="6"/>
      <c r="AB106" s="6"/>
      <c r="AC106" s="6"/>
      <c r="AD106" s="6"/>
      <c r="AE106" s="6"/>
      <c r="AF106" s="6"/>
      <c r="AG106" s="8"/>
      <c r="AI106" s="95"/>
      <c r="AK106" s="283"/>
      <c r="AL106" s="283"/>
      <c r="AM106" s="283"/>
      <c r="AN106" s="283"/>
      <c r="AO106" s="289"/>
      <c r="AP106" s="289"/>
      <c r="AQ106" s="289"/>
      <c r="AR106" s="289"/>
      <c r="AS106" s="289"/>
      <c r="AT106" s="289"/>
      <c r="AU106" s="283"/>
      <c r="AV106" s="283"/>
    </row>
    <row r="107" spans="2:48" x14ac:dyDescent="0.25">
      <c r="B107" s="251"/>
      <c r="C107" s="265" t="s">
        <v>397</v>
      </c>
      <c r="D107" s="21" t="str">
        <f>INDEX(Unit_Rates!$C$7:$K$134,MATCH($C107,Unit_Rates!$C$7:$C$134,0),5)</f>
        <v>Distribution system assets</v>
      </c>
      <c r="E107" s="21" t="str">
        <f>INDEX(Unit_Rates!$C$7:$K$134,MATCH($C107,Unit_Rates!$C$7:$C$134,0),6)</f>
        <v>Augmentation</v>
      </c>
      <c r="F107" s="21" t="str">
        <f>D107&amp;E107</f>
        <v>Distribution system assetsAugmentation</v>
      </c>
      <c r="G107" s="167">
        <f>INDEX(Unit_Rates!$C$7:$K$134,MATCH($C107,Unit_Rates!$C$7:$C$134,0),7)</f>
        <v>111.56299710036832</v>
      </c>
      <c r="H107" s="199">
        <v>6.99</v>
      </c>
      <c r="I107" s="120" t="s">
        <v>322</v>
      </c>
      <c r="K107" s="167">
        <f>G107*H107</f>
        <v>779.82534973157453</v>
      </c>
      <c r="L107" s="167">
        <f>SUMPRODUCT(R$5:X$5,R107:X107)/Thousands</f>
        <v>0</v>
      </c>
      <c r="M107" s="167"/>
      <c r="N107" s="367"/>
      <c r="O107" s="367"/>
      <c r="P107" s="367"/>
      <c r="Q107" s="250">
        <f>P107-H107*VLOOKUP(C107,Unit_Rates!$C$7:$E$134,3,FALSE)</f>
        <v>0</v>
      </c>
      <c r="R107" s="131">
        <v>0</v>
      </c>
      <c r="S107" s="131">
        <v>0</v>
      </c>
      <c r="T107" s="131">
        <v>0</v>
      </c>
      <c r="U107" s="131">
        <v>0</v>
      </c>
      <c r="V107" s="131">
        <v>0</v>
      </c>
      <c r="W107" s="131">
        <v>0</v>
      </c>
      <c r="X107" s="131">
        <v>0</v>
      </c>
      <c r="Y107" s="241">
        <f>SUM(R107:X107)</f>
        <v>0</v>
      </c>
      <c r="Z107" s="6"/>
      <c r="AA107" s="6"/>
      <c r="AB107" s="6"/>
      <c r="AC107" s="6"/>
      <c r="AD107" s="6"/>
      <c r="AE107" s="6"/>
      <c r="AF107" s="6"/>
      <c r="AG107" s="8"/>
      <c r="AI107" s="95"/>
      <c r="AK107" s="283"/>
      <c r="AL107" s="283"/>
      <c r="AM107" s="283"/>
      <c r="AN107" s="283"/>
      <c r="AO107" s="289"/>
      <c r="AP107" s="289"/>
      <c r="AQ107" s="289"/>
      <c r="AR107" s="289"/>
      <c r="AS107" s="289"/>
      <c r="AT107" s="289"/>
      <c r="AU107" s="283"/>
      <c r="AV107" s="283"/>
    </row>
    <row r="108" spans="2:48" x14ac:dyDescent="0.25">
      <c r="B108" s="117"/>
      <c r="C108" s="242" t="s">
        <v>437</v>
      </c>
      <c r="D108" s="21" t="str">
        <f>Unit_Rates!G160</f>
        <v>Distribution system assets</v>
      </c>
      <c r="E108" s="21" t="s">
        <v>25</v>
      </c>
      <c r="F108" s="21" t="str">
        <f>D108&amp;E108</f>
        <v>Distribution system assetsAugmentation</v>
      </c>
      <c r="G108" s="167">
        <f>Unit_Rates!I$140</f>
        <v>0.37850311702696687</v>
      </c>
      <c r="H108" s="347">
        <v>138</v>
      </c>
      <c r="I108" s="120" t="s">
        <v>278</v>
      </c>
      <c r="K108" s="198">
        <f t="shared" ref="K108" si="57">G108*H108</f>
        <v>52.233430149721428</v>
      </c>
      <c r="L108" s="198">
        <f>SUMPRODUCT(R$5:X$5,R108:X108)/Thousands</f>
        <v>26.815045436569452</v>
      </c>
      <c r="M108" s="167">
        <f>$H108*Unit_Rates!K$140</f>
        <v>0</v>
      </c>
      <c r="N108" s="367"/>
      <c r="O108" s="367"/>
      <c r="P108" s="367"/>
      <c r="Q108" s="250">
        <f>P108-H108*Unit_Rates!E$140</f>
        <v>-181.96109912711617</v>
      </c>
      <c r="R108" s="131">
        <f>$H108*$AI108*1000*Z108/R$5</f>
        <v>4.2458203874789184</v>
      </c>
      <c r="S108" s="131">
        <f t="shared" ref="S108" si="58">$H108*$AI108*1000*AA108/S$5</f>
        <v>0</v>
      </c>
      <c r="T108" s="131">
        <f t="shared" ref="T108" si="59">$H108*$AI108*1000*AB108/T$5</f>
        <v>48.824329761462828</v>
      </c>
      <c r="U108" s="131">
        <f t="shared" ref="U108" si="60">$H108*$AI108*1000*AC108/U$5</f>
        <v>0</v>
      </c>
      <c r="V108" s="131">
        <f t="shared" ref="V108" si="61">$H108*$AI108*1000*AD108/V$5</f>
        <v>0</v>
      </c>
      <c r="W108" s="131">
        <f t="shared" ref="W108" si="62">$H108*$AI108*1000*AE108/W$5</f>
        <v>0</v>
      </c>
      <c r="X108" s="131">
        <f t="shared" ref="X108" si="63">$H108*$AI108*1000*AF108/X$5</f>
        <v>131.06358633720475</v>
      </c>
      <c r="Y108" s="241">
        <f t="shared" ref="Y108" si="64">SUM(R108:X108)</f>
        <v>184.13373648614652</v>
      </c>
      <c r="Z108" s="6">
        <v>2.5727805595989302E-2</v>
      </c>
      <c r="AA108" s="6">
        <v>0</v>
      </c>
      <c r="AB108" s="6">
        <v>0.32115728206047139</v>
      </c>
      <c r="AC108" s="6">
        <v>0</v>
      </c>
      <c r="AD108" s="6">
        <v>0</v>
      </c>
      <c r="AE108" s="6">
        <v>0</v>
      </c>
      <c r="AF108" s="6">
        <v>0.65311491234353936</v>
      </c>
      <c r="AG108" s="8">
        <f>SUM(Z108:AF108)</f>
        <v>1</v>
      </c>
      <c r="AH108" t="b">
        <f>AG108=1</f>
        <v>1</v>
      </c>
      <c r="AI108" s="94">
        <f>Unit_Rates!$J$140</f>
        <v>0.19431192345340181</v>
      </c>
      <c r="AK108" s="283"/>
      <c r="AL108" s="283"/>
      <c r="AM108" s="283"/>
      <c r="AN108" s="283"/>
      <c r="AO108" s="289"/>
      <c r="AP108" s="289"/>
      <c r="AQ108" s="289"/>
      <c r="AR108" s="289"/>
      <c r="AS108" s="289"/>
      <c r="AT108" s="289"/>
      <c r="AU108" s="283"/>
      <c r="AV108" s="283"/>
    </row>
    <row r="109" spans="2:48" x14ac:dyDescent="0.25">
      <c r="B109" s="251"/>
      <c r="C109" s="21" t="s">
        <v>406</v>
      </c>
      <c r="D109" s="21" t="str">
        <f>INDEX(Unit_Rates!$C$7:$K$134,MATCH($C109,Unit_Rates!$C$7:$C$134,0),5)</f>
        <v>Distribution system assets</v>
      </c>
      <c r="E109" s="21" t="str">
        <f>INDEX(Unit_Rates!$C$7:$K$134,MATCH($C109,Unit_Rates!$C$7:$C$134,0),6)</f>
        <v>Replacement</v>
      </c>
      <c r="F109" s="21" t="str">
        <f t="shared" ref="F109" si="65">D109&amp;E109</f>
        <v>Distribution system assetsReplacement</v>
      </c>
      <c r="G109" s="167">
        <f>INDEX(Unit_Rates!$C$7:$K$134,MATCH($C109,Unit_Rates!$C$7:$C$134,0),7)</f>
        <v>0.66461538461538461</v>
      </c>
      <c r="H109" s="201">
        <v>0</v>
      </c>
      <c r="I109" s="245" t="s">
        <v>278</v>
      </c>
      <c r="K109" s="167">
        <f>G109*H109</f>
        <v>0</v>
      </c>
      <c r="L109" s="167">
        <f t="shared" ref="L109:L110" si="66">SUMPRODUCT(R$5:X$5,R109:X109)/Thousands</f>
        <v>0</v>
      </c>
      <c r="M109" s="167"/>
      <c r="N109" s="367"/>
      <c r="O109" s="367"/>
      <c r="P109" s="367"/>
      <c r="Q109" s="250">
        <f>P109-H109*VLOOKUP(C109,Unit_Rates!$C$7:$E$134,3,FALSE)</f>
        <v>0</v>
      </c>
      <c r="R109" s="131">
        <v>0</v>
      </c>
      <c r="S109" s="131">
        <v>0</v>
      </c>
      <c r="T109" s="131">
        <v>0</v>
      </c>
      <c r="U109" s="131">
        <v>0</v>
      </c>
      <c r="V109" s="131">
        <v>0</v>
      </c>
      <c r="W109" s="131">
        <v>0</v>
      </c>
      <c r="X109" s="131">
        <v>0</v>
      </c>
      <c r="Y109" s="241">
        <f t="shared" ref="Y109:Y110" si="67">SUM(R109:X109)</f>
        <v>0</v>
      </c>
      <c r="Z109" s="6"/>
      <c r="AA109" s="6"/>
      <c r="AB109" s="6"/>
      <c r="AC109" s="6"/>
      <c r="AD109" s="6"/>
      <c r="AE109" s="6"/>
      <c r="AF109" s="6"/>
      <c r="AG109" s="8"/>
      <c r="AI109" s="95"/>
      <c r="AK109" s="283"/>
      <c r="AL109" s="283"/>
      <c r="AM109" s="283"/>
      <c r="AN109" s="283"/>
      <c r="AO109" s="289"/>
      <c r="AP109" s="289"/>
      <c r="AQ109" s="289"/>
      <c r="AR109" s="289"/>
      <c r="AS109" s="289"/>
      <c r="AT109" s="289"/>
      <c r="AU109" s="283"/>
      <c r="AV109" s="283"/>
    </row>
    <row r="110" spans="2:48" x14ac:dyDescent="0.25">
      <c r="B110" s="251"/>
      <c r="C110" s="242" t="s">
        <v>391</v>
      </c>
      <c r="D110" s="21" t="str">
        <f>INDEX(Unit_Rates!$C$7:$K$134,MATCH($C110,Unit_Rates!$C$7:$C$134,0),5)</f>
        <v>Distribution system assets</v>
      </c>
      <c r="E110" s="21" t="str">
        <f>INDEX(Unit_Rates!$C$7:$K$134,MATCH($C110,Unit_Rates!$C$7:$C$134,0),6)</f>
        <v>Replacement</v>
      </c>
      <c r="F110" s="21" t="str">
        <f>D110&amp;E110</f>
        <v>Distribution system assetsReplacement</v>
      </c>
      <c r="G110" s="167">
        <f>INDEX(Unit_Rates!$C$7:$K$134,MATCH($C110,Unit_Rates!$C$7:$C$134,0),7)</f>
        <v>6.06</v>
      </c>
      <c r="H110" s="201">
        <v>64</v>
      </c>
      <c r="I110" s="245" t="s">
        <v>322</v>
      </c>
      <c r="K110" s="167">
        <f t="shared" ref="K110" si="68">G110*H110</f>
        <v>387.84</v>
      </c>
      <c r="L110" s="167">
        <f t="shared" si="66"/>
        <v>0</v>
      </c>
      <c r="M110" s="167"/>
      <c r="N110" s="367"/>
      <c r="O110" s="367"/>
      <c r="P110" s="367"/>
      <c r="Q110" s="250">
        <f>P110-H110*VLOOKUP(C110,Unit_Rates!$C$7:$E$134,3,FALSE)</f>
        <v>0</v>
      </c>
      <c r="R110" s="131">
        <v>0</v>
      </c>
      <c r="S110" s="131">
        <v>0</v>
      </c>
      <c r="T110" s="131">
        <v>0</v>
      </c>
      <c r="U110" s="131">
        <v>0</v>
      </c>
      <c r="V110" s="131">
        <v>0</v>
      </c>
      <c r="W110" s="131">
        <v>0</v>
      </c>
      <c r="X110" s="131">
        <v>0</v>
      </c>
      <c r="Y110" s="241">
        <f t="shared" si="67"/>
        <v>0</v>
      </c>
      <c r="Z110" s="6"/>
      <c r="AA110" s="6"/>
      <c r="AB110" s="6"/>
      <c r="AC110" s="6"/>
      <c r="AD110" s="6"/>
      <c r="AE110" s="6"/>
      <c r="AF110" s="6"/>
      <c r="AG110" s="8"/>
      <c r="AI110" s="95"/>
      <c r="AK110" s="283"/>
      <c r="AL110" s="283"/>
      <c r="AM110" s="283"/>
      <c r="AN110" s="283"/>
      <c r="AO110" s="289"/>
      <c r="AP110" s="289"/>
      <c r="AQ110" s="289"/>
      <c r="AR110" s="289"/>
      <c r="AS110" s="289"/>
      <c r="AT110" s="289"/>
      <c r="AU110" s="283"/>
      <c r="AV110" s="283"/>
    </row>
    <row r="111" spans="2:48" x14ac:dyDescent="0.25">
      <c r="B111" s="270" t="s">
        <v>405</v>
      </c>
      <c r="C111" s="242"/>
      <c r="D111" s="21"/>
      <c r="E111" s="21"/>
      <c r="F111" s="21"/>
      <c r="G111" s="167"/>
      <c r="H111" s="244"/>
      <c r="I111" s="245"/>
      <c r="K111" s="167"/>
      <c r="L111" s="167"/>
      <c r="M111" s="167"/>
      <c r="N111" s="167"/>
      <c r="O111" s="167"/>
      <c r="P111" s="167"/>
      <c r="Q111" s="250"/>
      <c r="R111" s="184"/>
      <c r="S111" s="184"/>
      <c r="T111" s="184"/>
      <c r="U111" s="184"/>
      <c r="V111" s="184"/>
      <c r="W111" s="184"/>
      <c r="X111" s="184"/>
      <c r="Y111" s="75"/>
      <c r="Z111" s="6"/>
      <c r="AA111" s="6"/>
      <c r="AB111" s="6"/>
      <c r="AC111" s="6"/>
      <c r="AD111" s="6"/>
      <c r="AE111" s="6"/>
      <c r="AF111" s="6"/>
      <c r="AG111" s="8"/>
      <c r="AI111" s="95"/>
      <c r="AK111" s="283"/>
      <c r="AL111" s="283"/>
      <c r="AM111" s="283"/>
      <c r="AN111" s="283"/>
      <c r="AO111" s="289"/>
      <c r="AP111" s="289"/>
      <c r="AQ111" s="289"/>
      <c r="AR111" s="289"/>
      <c r="AS111" s="289"/>
      <c r="AT111" s="289"/>
      <c r="AU111" s="283"/>
      <c r="AV111" s="283"/>
    </row>
    <row r="112" spans="2:48" x14ac:dyDescent="0.25">
      <c r="B112" s="117"/>
      <c r="C112" s="242" t="s">
        <v>348</v>
      </c>
      <c r="D112" s="21" t="str">
        <f>INDEX(Unit_Rates!$C$7:$K$134,MATCH($C112,Unit_Rates!$C$7:$C$134,0),5)</f>
        <v>Subtransmission</v>
      </c>
      <c r="E112" s="21" t="str">
        <f>INDEX(Unit_Rates!$C$7:$K$134,MATCH($C112,Unit_Rates!$C$7:$C$134,0),6)</f>
        <v>Augmentation</v>
      </c>
      <c r="F112" s="21" t="str">
        <f t="shared" ref="F112" si="69">D112&amp;E112</f>
        <v>SubtransmissionAugmentation</v>
      </c>
      <c r="G112" s="167">
        <f>INDEX(Unit_Rates!$C$7:$K$134,MATCH($C112,Unit_Rates!$C$7:$C$134,0),7)</f>
        <v>0</v>
      </c>
      <c r="H112" s="199">
        <v>16.079999999999998</v>
      </c>
      <c r="I112" s="120" t="s">
        <v>322</v>
      </c>
      <c r="K112" s="197">
        <f t="shared" ref="K112" si="70">G112*H112</f>
        <v>0</v>
      </c>
      <c r="L112" s="197">
        <f t="shared" ref="L112" si="71">SUMPRODUCT(R$5:X$5,R112:X112)/Thousands</f>
        <v>0</v>
      </c>
      <c r="M112" s="197"/>
      <c r="N112" s="369"/>
      <c r="O112" s="369"/>
      <c r="P112" s="369"/>
      <c r="Q112" s="250">
        <f>P112-H112*VLOOKUP(C112,Unit_Rates!$C$7:$E$134,3,FALSE)</f>
        <v>0</v>
      </c>
      <c r="R112" s="131">
        <v>0</v>
      </c>
      <c r="S112" s="131">
        <v>0</v>
      </c>
      <c r="T112" s="131">
        <v>0</v>
      </c>
      <c r="U112" s="131">
        <v>0</v>
      </c>
      <c r="V112" s="131">
        <v>0</v>
      </c>
      <c r="W112" s="131">
        <v>0</v>
      </c>
      <c r="X112" s="131">
        <v>0</v>
      </c>
      <c r="Y112" s="241">
        <f t="shared" ref="Y112" si="72">SUM(R112:X112)</f>
        <v>0</v>
      </c>
      <c r="Z112" s="6"/>
      <c r="AA112" s="6"/>
      <c r="AB112" s="6"/>
      <c r="AC112" s="6"/>
      <c r="AD112" s="6"/>
      <c r="AE112" s="6"/>
      <c r="AF112" s="6"/>
      <c r="AG112" s="8"/>
      <c r="AI112" s="95"/>
      <c r="AK112" s="283"/>
      <c r="AL112" s="283"/>
      <c r="AM112" s="283"/>
      <c r="AN112" s="283"/>
      <c r="AO112" s="289"/>
      <c r="AP112" s="289"/>
      <c r="AQ112" s="289"/>
      <c r="AR112" s="289"/>
      <c r="AS112" s="289"/>
      <c r="AT112" s="289"/>
      <c r="AU112" s="283"/>
      <c r="AV112" s="283"/>
    </row>
    <row r="113" spans="2:48" x14ac:dyDescent="0.25">
      <c r="B113" s="117"/>
      <c r="C113" s="21" t="s">
        <v>401</v>
      </c>
      <c r="G113" s="198"/>
      <c r="H113" s="244"/>
      <c r="I113" s="164"/>
      <c r="K113" s="198">
        <v>2509.7141993144996</v>
      </c>
      <c r="L113" s="198">
        <v>26.815045436569452</v>
      </c>
      <c r="M113" s="167">
        <v>0</v>
      </c>
      <c r="N113" s="167">
        <v>3995.4021290437167</v>
      </c>
      <c r="O113" s="167">
        <v>423.006398777188</v>
      </c>
      <c r="P113" s="167">
        <v>6954.9377725719733</v>
      </c>
      <c r="Q113" s="160"/>
      <c r="R113" s="124"/>
      <c r="S113" s="124"/>
      <c r="T113" s="124"/>
      <c r="U113" s="124"/>
      <c r="V113" s="124"/>
      <c r="W113" s="124"/>
      <c r="X113" s="124"/>
      <c r="Z113" s="6"/>
      <c r="AA113" s="6"/>
      <c r="AB113" s="6"/>
      <c r="AC113" s="6"/>
      <c r="AD113" s="6"/>
      <c r="AE113" s="6"/>
      <c r="AF113" s="6"/>
      <c r="AG113" s="8"/>
      <c r="AI113" s="95"/>
      <c r="AK113" s="283"/>
      <c r="AL113" s="283"/>
      <c r="AM113" s="283"/>
      <c r="AN113" s="283"/>
      <c r="AO113" s="289"/>
      <c r="AP113" s="289"/>
      <c r="AQ113" s="289"/>
      <c r="AR113" s="289"/>
      <c r="AS113" s="289"/>
      <c r="AT113" s="289"/>
      <c r="AU113" s="283"/>
      <c r="AV113" s="283"/>
    </row>
    <row r="114" spans="2:48" x14ac:dyDescent="0.25">
      <c r="B114" s="117"/>
      <c r="G114" s="198"/>
      <c r="H114" s="244"/>
      <c r="I114" s="164"/>
      <c r="K114" s="198"/>
      <c r="L114" s="198"/>
      <c r="M114" s="167"/>
      <c r="N114" s="167"/>
      <c r="O114" s="167"/>
      <c r="P114" s="167"/>
      <c r="Q114" s="160"/>
      <c r="R114" s="124"/>
      <c r="S114" s="124"/>
      <c r="T114" s="124"/>
      <c r="U114" s="124"/>
      <c r="V114" s="124"/>
      <c r="W114" s="124"/>
      <c r="X114" s="124"/>
      <c r="Z114" s="6"/>
      <c r="AA114" s="6"/>
      <c r="AB114" s="6"/>
      <c r="AC114" s="6"/>
      <c r="AD114" s="6"/>
      <c r="AE114" s="6"/>
      <c r="AF114" s="6"/>
      <c r="AG114" s="8"/>
      <c r="AI114" s="95"/>
      <c r="AK114" s="283"/>
      <c r="AL114" s="283"/>
      <c r="AM114" s="283"/>
      <c r="AN114" s="283"/>
      <c r="AO114" s="289"/>
      <c r="AP114" s="289"/>
      <c r="AQ114" s="289"/>
      <c r="AR114" s="289"/>
      <c r="AS114" s="289"/>
      <c r="AT114" s="289"/>
      <c r="AU114" s="283"/>
      <c r="AV114" s="283"/>
    </row>
    <row r="115" spans="2:48" x14ac:dyDescent="0.25">
      <c r="B115" s="269" t="s">
        <v>400</v>
      </c>
      <c r="G115" s="198"/>
      <c r="H115" s="244"/>
      <c r="I115" s="164"/>
      <c r="K115" s="198"/>
      <c r="L115" s="198"/>
      <c r="M115" s="167"/>
      <c r="N115" s="167"/>
      <c r="O115" s="167"/>
      <c r="P115" s="167"/>
      <c r="Q115" s="160"/>
      <c r="R115" s="124"/>
      <c r="S115" s="124"/>
      <c r="T115" s="124"/>
      <c r="U115" s="124"/>
      <c r="V115" s="124"/>
      <c r="W115" s="124"/>
      <c r="X115" s="124"/>
      <c r="Z115" s="6"/>
      <c r="AA115" s="6"/>
      <c r="AB115" s="6"/>
      <c r="AC115" s="6"/>
      <c r="AD115" s="6"/>
      <c r="AE115" s="6"/>
      <c r="AF115" s="6"/>
      <c r="AG115" s="8"/>
      <c r="AI115" s="95"/>
      <c r="AK115" s="283"/>
      <c r="AL115" s="283"/>
      <c r="AM115" s="283"/>
      <c r="AN115" s="283"/>
      <c r="AO115" s="289"/>
      <c r="AP115" s="289"/>
      <c r="AQ115" s="289"/>
      <c r="AR115" s="289"/>
      <c r="AS115" s="289"/>
      <c r="AT115" s="289"/>
      <c r="AU115" s="283"/>
      <c r="AV115" s="283"/>
    </row>
    <row r="116" spans="2:48" x14ac:dyDescent="0.25">
      <c r="B116" s="117"/>
      <c r="C116" s="21" t="s">
        <v>380</v>
      </c>
      <c r="D116" s="21" t="str">
        <f>INDEX(Unit_Rates!$C$7:$K$134,MATCH($C116,Unit_Rates!$C$7:$C$134,0),5)</f>
        <v>Distribution system assets</v>
      </c>
      <c r="E116" s="21" t="str">
        <f>INDEX(Unit_Rates!$C$7:$K$134,MATCH($C116,Unit_Rates!$C$7:$C$134,0),6)</f>
        <v>Augmentation</v>
      </c>
      <c r="F116" s="21" t="str">
        <f t="shared" ref="F116:F120" si="73">D116&amp;E116</f>
        <v>Distribution system assetsAugmentation</v>
      </c>
      <c r="G116" s="167">
        <f>INDEX(Unit_Rates!$C$7:$K$134,MATCH($C116,Unit_Rates!$C$7:$C$134,0),7)</f>
        <v>6.4197386759582073E-2</v>
      </c>
      <c r="H116" s="201">
        <v>200</v>
      </c>
      <c r="I116" s="120" t="s">
        <v>403</v>
      </c>
      <c r="K116" s="198">
        <f t="shared" ref="K116:K120" si="74">G116*H116</f>
        <v>12.839477351916415</v>
      </c>
      <c r="L116" s="198">
        <f t="shared" ref="L116:L120" si="75">SUMPRODUCT(R$5:X$5,R116:X116)/Thousands</f>
        <v>0</v>
      </c>
      <c r="M116" s="167"/>
      <c r="N116" s="367"/>
      <c r="O116" s="367"/>
      <c r="P116" s="367"/>
      <c r="Q116" s="250">
        <f>P116-H116*VLOOKUP(C116,Unit_Rates!$C$7:$E$134,3,FALSE)</f>
        <v>0</v>
      </c>
      <c r="R116" s="131">
        <v>0</v>
      </c>
      <c r="S116" s="131">
        <v>0</v>
      </c>
      <c r="T116" s="131">
        <v>0</v>
      </c>
      <c r="U116" s="131">
        <v>0</v>
      </c>
      <c r="V116" s="131">
        <v>0</v>
      </c>
      <c r="W116" s="131">
        <v>0</v>
      </c>
      <c r="X116" s="131">
        <v>0</v>
      </c>
      <c r="Y116" s="241">
        <f t="shared" ref="Y116:Y120" si="76">SUM(R116:X116)</f>
        <v>0</v>
      </c>
      <c r="Z116" s="6"/>
      <c r="AA116" s="6"/>
      <c r="AB116" s="6"/>
      <c r="AC116" s="6"/>
      <c r="AD116" s="6"/>
      <c r="AE116" s="6"/>
      <c r="AF116" s="6"/>
      <c r="AG116" s="8"/>
      <c r="AI116" s="95"/>
      <c r="AK116" s="283"/>
      <c r="AL116" s="283"/>
      <c r="AM116" s="283"/>
      <c r="AN116" s="283"/>
      <c r="AO116" s="289"/>
      <c r="AP116" s="289"/>
      <c r="AQ116" s="289"/>
      <c r="AR116" s="289"/>
      <c r="AS116" s="289"/>
      <c r="AT116" s="289"/>
      <c r="AU116" s="283"/>
      <c r="AV116" s="283"/>
    </row>
    <row r="117" spans="2:48" x14ac:dyDescent="0.25">
      <c r="B117" s="117"/>
      <c r="C117" s="21" t="s">
        <v>386</v>
      </c>
      <c r="D117" s="21" t="str">
        <f>INDEX(Unit_Rates!$C$7:$K$134,MATCH($C117,Unit_Rates!$C$7:$C$134,0),5)</f>
        <v>Distribution system assets</v>
      </c>
      <c r="E117" s="21" t="str">
        <f>INDEX(Unit_Rates!$C$7:$K$134,MATCH($C117,Unit_Rates!$C$7:$C$134,0),6)</f>
        <v>Augmentation</v>
      </c>
      <c r="F117" s="21" t="str">
        <f t="shared" si="73"/>
        <v>Distribution system assetsAugmentation</v>
      </c>
      <c r="G117" s="167">
        <f>INDEX(Unit_Rates!$C$7:$K$134,MATCH($C117,Unit_Rates!$C$7:$C$134,0),7)</f>
        <v>4.3774577767537882E-2</v>
      </c>
      <c r="H117" s="201">
        <v>150</v>
      </c>
      <c r="I117" s="120" t="s">
        <v>403</v>
      </c>
      <c r="K117" s="198">
        <f t="shared" si="74"/>
        <v>6.5661866651306822</v>
      </c>
      <c r="L117" s="198">
        <f t="shared" si="75"/>
        <v>0</v>
      </c>
      <c r="M117" s="167"/>
      <c r="N117" s="367"/>
      <c r="O117" s="367"/>
      <c r="P117" s="367"/>
      <c r="Q117" s="250">
        <f>P117-H117*VLOOKUP(C117,Unit_Rates!$C$7:$E$134,3,FALSE)</f>
        <v>0</v>
      </c>
      <c r="R117" s="131">
        <v>0</v>
      </c>
      <c r="S117" s="131">
        <v>0</v>
      </c>
      <c r="T117" s="131">
        <v>0</v>
      </c>
      <c r="U117" s="131">
        <v>0</v>
      </c>
      <c r="V117" s="131">
        <v>0</v>
      </c>
      <c r="W117" s="131">
        <v>0</v>
      </c>
      <c r="X117" s="131">
        <v>0</v>
      </c>
      <c r="Y117" s="241">
        <f t="shared" si="76"/>
        <v>0</v>
      </c>
      <c r="Z117" s="6"/>
      <c r="AA117" s="6"/>
      <c r="AB117" s="6"/>
      <c r="AC117" s="6"/>
      <c r="AD117" s="6"/>
      <c r="AE117" s="6"/>
      <c r="AF117" s="6"/>
      <c r="AG117" s="8"/>
      <c r="AI117" s="95"/>
      <c r="AK117" s="283"/>
      <c r="AL117" s="283"/>
      <c r="AM117" s="283"/>
      <c r="AN117" s="283"/>
      <c r="AO117" s="289"/>
      <c r="AP117" s="289"/>
      <c r="AQ117" s="289"/>
      <c r="AR117" s="289"/>
      <c r="AS117" s="289"/>
      <c r="AT117" s="289"/>
      <c r="AU117" s="283"/>
      <c r="AV117" s="283"/>
    </row>
    <row r="118" spans="2:48" x14ac:dyDescent="0.25">
      <c r="B118" s="117"/>
      <c r="C118" s="21" t="s">
        <v>387</v>
      </c>
      <c r="D118" s="21" t="str">
        <f>INDEX(Unit_Rates!$C$7:$K$134,MATCH($C118,Unit_Rates!$C$7:$C$134,0),5)</f>
        <v>Distribution system assets</v>
      </c>
      <c r="E118" s="21" t="str">
        <f>INDEX(Unit_Rates!$C$7:$K$134,MATCH($C118,Unit_Rates!$C$7:$C$134,0),6)</f>
        <v>Augmentation</v>
      </c>
      <c r="F118" s="21" t="str">
        <f t="shared" si="73"/>
        <v>Distribution system assetsAugmentation</v>
      </c>
      <c r="G118" s="167">
        <f>INDEX(Unit_Rates!$C$7:$K$134,MATCH($C118,Unit_Rates!$C$7:$C$134,0),7)</f>
        <v>3.1911672473867689</v>
      </c>
      <c r="H118" s="201">
        <v>4</v>
      </c>
      <c r="I118" s="120" t="s">
        <v>278</v>
      </c>
      <c r="K118" s="198">
        <f t="shared" si="74"/>
        <v>12.764668989547076</v>
      </c>
      <c r="L118" s="198">
        <f t="shared" si="75"/>
        <v>0</v>
      </c>
      <c r="M118" s="167"/>
      <c r="N118" s="367"/>
      <c r="O118" s="367"/>
      <c r="P118" s="367"/>
      <c r="Q118" s="250">
        <f>P118-H118*VLOOKUP(C118,Unit_Rates!$C$7:$E$134,3,FALSE)</f>
        <v>0</v>
      </c>
      <c r="R118" s="131">
        <v>0</v>
      </c>
      <c r="S118" s="131">
        <v>0</v>
      </c>
      <c r="T118" s="131">
        <v>0</v>
      </c>
      <c r="U118" s="131">
        <v>0</v>
      </c>
      <c r="V118" s="131">
        <v>0</v>
      </c>
      <c r="W118" s="131">
        <v>0</v>
      </c>
      <c r="X118" s="131">
        <v>0</v>
      </c>
      <c r="Y118" s="241">
        <f t="shared" si="76"/>
        <v>0</v>
      </c>
      <c r="Z118" s="6"/>
      <c r="AA118" s="6"/>
      <c r="AB118" s="6"/>
      <c r="AC118" s="6"/>
      <c r="AD118" s="6"/>
      <c r="AE118" s="6"/>
      <c r="AF118" s="6"/>
      <c r="AG118" s="8"/>
      <c r="AI118" s="95"/>
      <c r="AK118" s="283"/>
      <c r="AL118" s="283"/>
      <c r="AM118" s="283"/>
      <c r="AN118" s="283"/>
      <c r="AO118" s="289"/>
      <c r="AP118" s="289"/>
      <c r="AQ118" s="289"/>
      <c r="AR118" s="289"/>
      <c r="AS118" s="289"/>
      <c r="AT118" s="289"/>
      <c r="AU118" s="283"/>
      <c r="AV118" s="283"/>
    </row>
    <row r="119" spans="2:48" x14ac:dyDescent="0.25">
      <c r="B119" s="117"/>
      <c r="C119" s="242" t="s">
        <v>391</v>
      </c>
      <c r="D119" s="21" t="str">
        <f>INDEX(Unit_Rates!$C$7:$K$134,MATCH($C119,Unit_Rates!$C$7:$C$134,0),5)</f>
        <v>Distribution system assets</v>
      </c>
      <c r="E119" s="21" t="str">
        <f>INDEX(Unit_Rates!$C$7:$K$134,MATCH($C119,Unit_Rates!$C$7:$C$134,0),6)</f>
        <v>Replacement</v>
      </c>
      <c r="F119" s="21" t="str">
        <f t="shared" si="73"/>
        <v>Distribution system assetsReplacement</v>
      </c>
      <c r="G119" s="167">
        <f>INDEX(Unit_Rates!$C$7:$K$134,MATCH($C119,Unit_Rates!$C$7:$C$134,0),7)</f>
        <v>6.06</v>
      </c>
      <c r="H119" s="201">
        <v>2</v>
      </c>
      <c r="I119" s="120" t="s">
        <v>278</v>
      </c>
      <c r="K119" s="198">
        <f t="shared" si="74"/>
        <v>12.12</v>
      </c>
      <c r="L119" s="198">
        <f t="shared" si="75"/>
        <v>0</v>
      </c>
      <c r="M119" s="167"/>
      <c r="N119" s="367"/>
      <c r="O119" s="367"/>
      <c r="P119" s="367"/>
      <c r="Q119" s="250">
        <f>P119-H119*VLOOKUP(C119,Unit_Rates!$C$7:$E$134,3,FALSE)</f>
        <v>0</v>
      </c>
      <c r="R119" s="131">
        <v>0</v>
      </c>
      <c r="S119" s="131">
        <v>0</v>
      </c>
      <c r="T119" s="131">
        <v>0</v>
      </c>
      <c r="U119" s="131">
        <v>0</v>
      </c>
      <c r="V119" s="131">
        <v>0</v>
      </c>
      <c r="W119" s="131">
        <v>0</v>
      </c>
      <c r="X119" s="131">
        <v>0</v>
      </c>
      <c r="Y119" s="241">
        <f t="shared" si="76"/>
        <v>0</v>
      </c>
      <c r="Z119" s="6"/>
      <c r="AA119" s="6"/>
      <c r="AB119" s="6"/>
      <c r="AC119" s="6"/>
      <c r="AD119" s="6"/>
      <c r="AE119" s="6"/>
      <c r="AF119" s="6"/>
      <c r="AG119" s="8"/>
      <c r="AI119" s="95"/>
      <c r="AK119" s="283"/>
      <c r="AL119" s="283"/>
      <c r="AM119" s="283"/>
      <c r="AN119" s="283"/>
      <c r="AO119" s="289"/>
      <c r="AP119" s="289"/>
      <c r="AQ119" s="289"/>
      <c r="AR119" s="289"/>
      <c r="AS119" s="289"/>
      <c r="AT119" s="289"/>
      <c r="AU119" s="283"/>
      <c r="AV119" s="283"/>
    </row>
    <row r="120" spans="2:48" x14ac:dyDescent="0.25">
      <c r="B120" s="117"/>
      <c r="C120" s="21" t="s">
        <v>216</v>
      </c>
      <c r="D120" s="21" t="str">
        <f>INDEX(Unit_Rates!$C$7:$K$134,MATCH($C120,Unit_Rates!$C$7:$C$134,0),5)</f>
        <v>Distribution system assets</v>
      </c>
      <c r="E120" s="21" t="str">
        <f>INDEX(Unit_Rates!$C$7:$K$134,MATCH($C120,Unit_Rates!$C$7:$C$134,0),6)</f>
        <v>Augmentation</v>
      </c>
      <c r="F120" s="21" t="str">
        <f t="shared" si="73"/>
        <v>Distribution system assetsAugmentation</v>
      </c>
      <c r="G120" s="167">
        <f>INDEX(Unit_Rates!$C$7:$K$134,MATCH($C120,Unit_Rates!$C$7:$C$134,0),7)</f>
        <v>22.603922249219018</v>
      </c>
      <c r="H120" s="201">
        <v>1</v>
      </c>
      <c r="I120" s="120" t="s">
        <v>278</v>
      </c>
      <c r="K120" s="215">
        <f t="shared" si="74"/>
        <v>22.603922249219018</v>
      </c>
      <c r="L120" s="215">
        <f t="shared" si="75"/>
        <v>20.350826596208069</v>
      </c>
      <c r="M120" s="197">
        <f>$H120*INDEX(Unit_Rates!$C$7:$M$134,MATCH($C120,Unit_Rates!$C$7:$C$134,0),9)</f>
        <v>4.7858004636387212</v>
      </c>
      <c r="N120" s="369"/>
      <c r="O120" s="369"/>
      <c r="P120" s="369"/>
      <c r="Q120" s="250">
        <f>P120-H120*VLOOKUP(C120,Unit_Rates!$C$7:$E$134,3,FALSE)</f>
        <v>-80.368821395059754</v>
      </c>
      <c r="R120" s="131">
        <f>$H120*$AI120*1000*Z120/R$5</f>
        <v>37.96809981831619</v>
      </c>
      <c r="S120" s="131">
        <f t="shared" ref="S120" si="77">$H120*$AI120*1000*AA120/S$5</f>
        <v>43.504015979090326</v>
      </c>
      <c r="T120" s="131">
        <f t="shared" ref="T120" si="78">$H120*$AI120*1000*AB120/T$5</f>
        <v>42.96124778462822</v>
      </c>
      <c r="U120" s="131">
        <v>0</v>
      </c>
      <c r="V120" s="131">
        <v>0</v>
      </c>
      <c r="W120" s="131">
        <v>0</v>
      </c>
      <c r="X120" s="131">
        <v>0</v>
      </c>
      <c r="Y120" s="241">
        <f t="shared" si="76"/>
        <v>124.43336358203473</v>
      </c>
      <c r="Z120" s="223">
        <v>0.30314923274650007</v>
      </c>
      <c r="AA120" s="223">
        <v>0.32449777026385923</v>
      </c>
      <c r="AB120" s="223">
        <v>0.37235299698964058</v>
      </c>
      <c r="AC120" s="223">
        <v>0</v>
      </c>
      <c r="AD120" s="223">
        <v>0</v>
      </c>
      <c r="AE120" s="223">
        <v>0</v>
      </c>
      <c r="AF120" s="223">
        <v>0</v>
      </c>
      <c r="AG120" s="221">
        <f>SUM(Z120:AF120)</f>
        <v>1</v>
      </c>
      <c r="AH120" s="21" t="b">
        <f>AG120=1</f>
        <v>1</v>
      </c>
      <c r="AI120" s="94">
        <f>Unit_Rates!$J$132</f>
        <v>20.350826596208069</v>
      </c>
      <c r="AK120" s="283"/>
      <c r="AL120" s="283"/>
      <c r="AM120" s="283"/>
      <c r="AN120" s="283"/>
      <c r="AO120" s="289"/>
      <c r="AP120" s="289"/>
      <c r="AQ120" s="289"/>
      <c r="AR120" s="289"/>
      <c r="AS120" s="289"/>
      <c r="AT120" s="289"/>
      <c r="AU120" s="283"/>
      <c r="AV120" s="283"/>
    </row>
    <row r="121" spans="2:48" x14ac:dyDescent="0.25">
      <c r="B121" s="117"/>
      <c r="C121" s="21" t="s">
        <v>402</v>
      </c>
      <c r="G121" s="163"/>
      <c r="H121" s="244"/>
      <c r="I121" s="120"/>
      <c r="K121" s="198">
        <v>66.894255255813192</v>
      </c>
      <c r="L121" s="198">
        <v>20.350826596208069</v>
      </c>
      <c r="M121" s="198">
        <v>4.7858004636387212</v>
      </c>
      <c r="N121" s="198">
        <v>293.78089231965089</v>
      </c>
      <c r="O121" s="198">
        <v>7.3084563286799114</v>
      </c>
      <c r="P121" s="198">
        <v>393.12023096399076</v>
      </c>
      <c r="Q121" s="149"/>
      <c r="Y121" s="75"/>
      <c r="Z121" s="6"/>
      <c r="AA121" s="6"/>
      <c r="AB121" s="6"/>
      <c r="AC121" s="6"/>
      <c r="AD121" s="6"/>
      <c r="AE121" s="6"/>
      <c r="AF121" s="6"/>
      <c r="AG121" s="8"/>
      <c r="AI121" s="95"/>
      <c r="AK121" s="283"/>
      <c r="AL121" s="283"/>
      <c r="AM121" s="283"/>
      <c r="AN121" s="283"/>
      <c r="AO121" s="289"/>
      <c r="AP121" s="289"/>
      <c r="AQ121" s="289"/>
      <c r="AR121" s="289"/>
      <c r="AS121" s="289"/>
      <c r="AT121" s="289"/>
      <c r="AU121" s="283"/>
      <c r="AV121" s="283"/>
    </row>
    <row r="122" spans="2:48" x14ac:dyDescent="0.25">
      <c r="B122" s="117"/>
      <c r="G122" s="163"/>
      <c r="H122" s="244"/>
      <c r="I122" s="120"/>
      <c r="K122" s="198"/>
      <c r="L122" s="198"/>
      <c r="M122" s="198"/>
      <c r="N122" s="198"/>
      <c r="O122" s="198"/>
      <c r="P122" s="198"/>
      <c r="Q122" s="149"/>
      <c r="Y122" s="75"/>
      <c r="Z122" s="6"/>
      <c r="AA122" s="6"/>
      <c r="AB122" s="6"/>
      <c r="AC122" s="6"/>
      <c r="AD122" s="6"/>
      <c r="AE122" s="6"/>
      <c r="AF122" s="6"/>
      <c r="AG122" s="8"/>
      <c r="AI122" s="95"/>
      <c r="AK122" s="283"/>
      <c r="AL122" s="283"/>
      <c r="AM122" s="283"/>
      <c r="AN122" s="283"/>
      <c r="AO122" s="283"/>
      <c r="AP122" s="283"/>
      <c r="AQ122" s="283"/>
      <c r="AR122" s="283"/>
      <c r="AS122" s="283"/>
      <c r="AT122" s="283"/>
      <c r="AU122" s="283"/>
      <c r="AV122" s="283"/>
    </row>
    <row r="123" spans="2:48" x14ac:dyDescent="0.25">
      <c r="B123" s="117" t="s">
        <v>292</v>
      </c>
      <c r="G123" s="164"/>
      <c r="H123" s="82"/>
      <c r="I123" s="164"/>
      <c r="K123" s="278">
        <f t="shared" ref="K123:P123" si="79">K101+K93+K113+K121</f>
        <v>4312.37188851666</v>
      </c>
      <c r="L123" s="278">
        <f t="shared" si="79"/>
        <v>85.004771739791749</v>
      </c>
      <c r="M123" s="278">
        <f t="shared" si="79"/>
        <v>9.5716009272774425</v>
      </c>
      <c r="N123" s="278">
        <f t="shared" si="79"/>
        <v>7193.3267231904128</v>
      </c>
      <c r="O123" s="278">
        <f t="shared" si="79"/>
        <v>708.4994784887989</v>
      </c>
      <c r="P123" s="278">
        <f t="shared" si="79"/>
        <v>12308.774462862941</v>
      </c>
      <c r="R123" s="202"/>
      <c r="S123" s="202"/>
      <c r="T123" s="202"/>
      <c r="Z123" s="8"/>
      <c r="AA123" s="8"/>
      <c r="AB123" s="8"/>
      <c r="AL123" s="333"/>
      <c r="AM123" s="217"/>
      <c r="AN123" s="217"/>
      <c r="AO123" s="217"/>
      <c r="AP123" s="217"/>
      <c r="AQ123" s="217"/>
      <c r="AR123" s="217"/>
      <c r="AS123" s="217"/>
      <c r="AT123" s="217"/>
      <c r="AU123" s="283"/>
      <c r="AV123" s="283"/>
    </row>
    <row r="124" spans="2:48" x14ac:dyDescent="0.25">
      <c r="B124" s="187" t="s">
        <v>289</v>
      </c>
      <c r="C124" s="263"/>
      <c r="D124" s="100"/>
      <c r="E124" s="100"/>
      <c r="F124" s="100"/>
      <c r="G124" s="100"/>
      <c r="H124" s="100"/>
      <c r="I124" s="100"/>
      <c r="J124" s="100"/>
      <c r="K124" s="203">
        <v>0</v>
      </c>
      <c r="L124" s="203">
        <v>0</v>
      </c>
      <c r="M124" s="203">
        <v>0</v>
      </c>
      <c r="N124" s="203">
        <v>0</v>
      </c>
      <c r="O124" s="203">
        <v>0</v>
      </c>
      <c r="P124" s="204">
        <v>0</v>
      </c>
      <c r="Q124" s="160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83"/>
      <c r="AV124" s="283"/>
    </row>
    <row r="125" spans="2:48" x14ac:dyDescent="0.25">
      <c r="B125" s="117" t="s">
        <v>30</v>
      </c>
      <c r="C125" s="266"/>
      <c r="D125" s="3"/>
      <c r="E125" s="3"/>
      <c r="F125" s="3"/>
      <c r="G125" s="3"/>
      <c r="H125" s="3"/>
      <c r="I125" s="3"/>
      <c r="J125" s="3"/>
      <c r="K125" s="275">
        <f t="shared" ref="K125:P125" si="80">K79+K123</f>
        <v>15263.811408148778</v>
      </c>
      <c r="L125" s="275">
        <f t="shared" si="80"/>
        <v>2701.6438969663932</v>
      </c>
      <c r="M125" s="276">
        <f t="shared" si="80"/>
        <v>3386.2580046363873</v>
      </c>
      <c r="N125" s="276">
        <f t="shared" si="80"/>
        <v>16257.319360433303</v>
      </c>
      <c r="O125" s="276">
        <f t="shared" si="80"/>
        <v>1207.5074188911049</v>
      </c>
      <c r="P125" s="277">
        <f t="shared" si="80"/>
        <v>38816.540089075963</v>
      </c>
      <c r="AK125" s="283"/>
      <c r="AL125" s="283"/>
      <c r="AM125" s="283"/>
      <c r="AN125" s="283"/>
      <c r="AO125" s="289"/>
      <c r="AP125" s="289"/>
      <c r="AQ125" s="289"/>
      <c r="AR125" s="289"/>
      <c r="AS125" s="289"/>
      <c r="AT125" s="289"/>
      <c r="AU125" s="283"/>
      <c r="AV125" s="283"/>
    </row>
    <row r="126" spans="2:48" x14ac:dyDescent="0.25">
      <c r="B126" s="205" t="s">
        <v>289</v>
      </c>
      <c r="C126" s="267"/>
      <c r="D126" s="206"/>
      <c r="E126" s="206"/>
      <c r="F126" s="206"/>
      <c r="G126" s="206"/>
      <c r="H126" s="206"/>
      <c r="I126" s="206"/>
      <c r="J126" s="206"/>
      <c r="K126" s="207">
        <v>0</v>
      </c>
      <c r="L126" s="207">
        <v>0</v>
      </c>
      <c r="M126" s="208">
        <v>0</v>
      </c>
      <c r="N126" s="208">
        <v>0</v>
      </c>
      <c r="O126" s="268">
        <v>0</v>
      </c>
      <c r="P126" s="295">
        <v>0</v>
      </c>
      <c r="Q126" s="255"/>
      <c r="AB126" s="179"/>
      <c r="AK126" s="283"/>
      <c r="AL126" s="283"/>
      <c r="AM126" s="283"/>
      <c r="AN126" s="283"/>
      <c r="AO126" s="289"/>
      <c r="AP126" s="289"/>
      <c r="AQ126" s="289"/>
      <c r="AR126" s="289"/>
      <c r="AS126" s="289"/>
      <c r="AT126" s="289"/>
      <c r="AU126" s="283"/>
      <c r="AV126" s="283"/>
    </row>
    <row r="127" spans="2:48" x14ac:dyDescent="0.25">
      <c r="O127" s="256"/>
      <c r="P127" s="257"/>
      <c r="Q127" s="242"/>
      <c r="AK127" s="283"/>
      <c r="AL127" s="283"/>
      <c r="AM127" s="283"/>
      <c r="AN127" s="283"/>
      <c r="AO127" s="289"/>
      <c r="AP127" s="289"/>
      <c r="AQ127" s="289"/>
      <c r="AR127" s="289"/>
      <c r="AS127" s="289"/>
      <c r="AT127" s="289"/>
      <c r="AU127" s="283"/>
      <c r="AV127" s="283"/>
    </row>
    <row r="128" spans="2:48" x14ac:dyDescent="0.25">
      <c r="O128" s="242"/>
      <c r="P128" s="257"/>
      <c r="Q128" s="242"/>
      <c r="AK128" s="283"/>
      <c r="AL128" s="283"/>
      <c r="AM128" s="283"/>
      <c r="AN128" s="283"/>
      <c r="AO128" s="289"/>
      <c r="AP128" s="289"/>
      <c r="AQ128" s="289"/>
      <c r="AR128" s="289"/>
      <c r="AS128" s="289"/>
      <c r="AT128" s="289"/>
      <c r="AU128" s="283"/>
      <c r="AV128" s="283"/>
    </row>
    <row r="129" spans="2:48" outlineLevel="1" x14ac:dyDescent="0.25">
      <c r="C129" s="21" t="str">
        <f>B15</f>
        <v>Remote REFCL &amp; Isolation Substation works</v>
      </c>
      <c r="D129" t="s">
        <v>3</v>
      </c>
      <c r="E129" t="s">
        <v>25</v>
      </c>
      <c r="F129" s="21" t="str">
        <f t="shared" ref="F129:F151" si="81">D129&amp;E129</f>
        <v>SubtransmissionAugmentation</v>
      </c>
      <c r="K129" s="212">
        <v>7070.2962892923206</v>
      </c>
      <c r="L129" s="212">
        <v>79.991812598725971</v>
      </c>
      <c r="M129" s="213">
        <v>76.686403709109754</v>
      </c>
      <c r="N129" s="213">
        <v>7999.568735722507</v>
      </c>
      <c r="O129" s="213">
        <v>481.60111950396799</v>
      </c>
      <c r="P129" s="213">
        <v>15708.144360826631</v>
      </c>
      <c r="AK129" s="283"/>
      <c r="AL129" s="283"/>
      <c r="AM129" s="283"/>
      <c r="AN129" s="283"/>
      <c r="AO129" s="289"/>
      <c r="AP129" s="289"/>
      <c r="AQ129" s="289"/>
      <c r="AR129" s="289"/>
      <c r="AS129" s="289"/>
      <c r="AT129" s="289"/>
      <c r="AU129" s="283"/>
      <c r="AV129" s="283"/>
    </row>
    <row r="130" spans="2:48" outlineLevel="1" x14ac:dyDescent="0.25">
      <c r="D130" t="s">
        <v>3</v>
      </c>
      <c r="E130" t="s">
        <v>26</v>
      </c>
      <c r="F130" s="21" t="str">
        <f t="shared" si="81"/>
        <v>SubtransmissionReplacement</v>
      </c>
      <c r="K130" s="212">
        <v>0</v>
      </c>
      <c r="L130" s="212">
        <v>0</v>
      </c>
      <c r="M130" s="213">
        <v>0</v>
      </c>
      <c r="N130" s="213">
        <v>0</v>
      </c>
      <c r="O130" s="213">
        <v>0</v>
      </c>
      <c r="P130" s="213">
        <v>0</v>
      </c>
      <c r="AK130" s="283"/>
      <c r="AL130" s="283"/>
      <c r="AM130" s="283"/>
      <c r="AN130" s="283"/>
      <c r="AO130" s="289"/>
      <c r="AP130" s="289"/>
      <c r="AQ130" s="289"/>
      <c r="AR130" s="289"/>
      <c r="AS130" s="289"/>
      <c r="AT130" s="289"/>
      <c r="AU130" s="283"/>
      <c r="AV130" s="283"/>
    </row>
    <row r="131" spans="2:48" outlineLevel="1" x14ac:dyDescent="0.25">
      <c r="D131" t="s">
        <v>2</v>
      </c>
      <c r="E131" t="s">
        <v>25</v>
      </c>
      <c r="F131" s="21" t="str">
        <f t="shared" si="81"/>
        <v>SCADA/Network controlAugmentation</v>
      </c>
      <c r="K131" s="212">
        <v>3881.1432303397974</v>
      </c>
      <c r="L131" s="212">
        <v>0</v>
      </c>
      <c r="M131" s="213">
        <v>0</v>
      </c>
      <c r="N131" s="213">
        <v>557.47690152038115</v>
      </c>
      <c r="O131" s="213">
        <v>17.406820898338012</v>
      </c>
      <c r="P131" s="213">
        <v>4456.0269527585169</v>
      </c>
      <c r="AL131" s="217"/>
      <c r="AM131" s="217"/>
      <c r="AN131" s="217"/>
      <c r="AO131" s="289"/>
      <c r="AP131" s="289"/>
      <c r="AQ131" s="289"/>
      <c r="AR131" s="289"/>
      <c r="AS131" s="289"/>
      <c r="AT131" s="289"/>
    </row>
    <row r="132" spans="2:48" outlineLevel="1" x14ac:dyDescent="0.25">
      <c r="D132" t="s">
        <v>2</v>
      </c>
      <c r="E132" t="s">
        <v>26</v>
      </c>
      <c r="F132" s="21" t="str">
        <f t="shared" si="81"/>
        <v>SCADA/Network controlReplacement</v>
      </c>
      <c r="K132" s="212">
        <v>0</v>
      </c>
      <c r="L132" s="212">
        <v>0</v>
      </c>
      <c r="M132" s="213">
        <v>0</v>
      </c>
      <c r="N132" s="213">
        <v>0</v>
      </c>
      <c r="O132" s="213">
        <v>0</v>
      </c>
      <c r="P132" s="213">
        <v>0</v>
      </c>
      <c r="AL132" s="217"/>
      <c r="AM132" s="217"/>
      <c r="AN132" s="217"/>
      <c r="AO132" s="289"/>
      <c r="AP132" s="289"/>
      <c r="AQ132" s="289"/>
      <c r="AR132" s="289"/>
      <c r="AS132" s="289"/>
      <c r="AT132" s="289"/>
    </row>
    <row r="133" spans="2:48" outlineLevel="1" x14ac:dyDescent="0.25">
      <c r="D133" t="s">
        <v>4</v>
      </c>
      <c r="E133" t="s">
        <v>27</v>
      </c>
      <c r="F133" s="21" t="str">
        <f t="shared" si="81"/>
        <v>LandNon-Network</v>
      </c>
      <c r="K133" s="272">
        <v>0</v>
      </c>
      <c r="L133" s="272">
        <v>0</v>
      </c>
      <c r="M133" s="273">
        <v>0</v>
      </c>
      <c r="N133" s="273">
        <v>506.947</v>
      </c>
      <c r="O133" s="273">
        <v>0</v>
      </c>
      <c r="P133" s="273">
        <v>506.947</v>
      </c>
      <c r="AL133" s="217"/>
      <c r="AM133" s="217"/>
      <c r="AN133" s="217"/>
      <c r="AO133" s="289"/>
      <c r="AP133" s="289"/>
      <c r="AQ133" s="289"/>
      <c r="AR133" s="289"/>
      <c r="AS133" s="289"/>
      <c r="AT133" s="289"/>
    </row>
    <row r="134" spans="2:48" outlineLevel="1" x14ac:dyDescent="0.25">
      <c r="K134" s="212">
        <v>10951.439519632118</v>
      </c>
      <c r="L134" s="212">
        <v>79.991812598725971</v>
      </c>
      <c r="M134" s="213">
        <v>76.686403709109754</v>
      </c>
      <c r="N134" s="213">
        <v>9063.992637242889</v>
      </c>
      <c r="O134" s="213">
        <v>499.00794040230602</v>
      </c>
      <c r="P134" s="213">
        <v>20671.118313585146</v>
      </c>
      <c r="AL134" s="217"/>
      <c r="AM134" s="217"/>
      <c r="AN134" s="217"/>
      <c r="AO134" s="289"/>
      <c r="AP134" s="289"/>
      <c r="AQ134" s="289"/>
      <c r="AR134" s="289"/>
      <c r="AS134" s="289"/>
      <c r="AT134" s="289"/>
    </row>
    <row r="135" spans="2:48" outlineLevel="1" x14ac:dyDescent="0.25">
      <c r="C135" s="21" t="s">
        <v>293</v>
      </c>
      <c r="D135" t="s">
        <v>3</v>
      </c>
      <c r="E135" t="s">
        <v>25</v>
      </c>
      <c r="F135" s="21" t="str">
        <f t="shared" ref="F135:F139" si="82">D135&amp;E135</f>
        <v>SubtransmissionAugmentation</v>
      </c>
      <c r="K135" s="4"/>
      <c r="L135" s="212">
        <v>1927.6181179358166</v>
      </c>
      <c r="M135" s="213">
        <v>2507.6957910235783</v>
      </c>
      <c r="N135" s="213">
        <v>0</v>
      </c>
      <c r="O135" s="209"/>
      <c r="P135" s="213">
        <v>4435.3139089593951</v>
      </c>
      <c r="AL135" s="217"/>
      <c r="AM135" s="217"/>
      <c r="AN135" s="217"/>
      <c r="AO135" s="289"/>
      <c r="AP135" s="289"/>
      <c r="AQ135" s="289"/>
      <c r="AR135" s="289"/>
      <c r="AS135" s="289"/>
      <c r="AT135" s="289"/>
    </row>
    <row r="136" spans="2:48" outlineLevel="1" x14ac:dyDescent="0.25">
      <c r="D136" t="s">
        <v>3</v>
      </c>
      <c r="E136" t="s">
        <v>26</v>
      </c>
      <c r="F136" s="21" t="str">
        <f t="shared" si="82"/>
        <v>SubtransmissionReplacement</v>
      </c>
      <c r="K136" s="4"/>
      <c r="L136" s="212">
        <v>0</v>
      </c>
      <c r="M136" s="213">
        <v>0</v>
      </c>
      <c r="N136" s="213">
        <v>0</v>
      </c>
      <c r="O136" s="209"/>
      <c r="P136" s="213">
        <v>0</v>
      </c>
      <c r="AL136" s="217"/>
      <c r="AM136" s="217"/>
      <c r="AN136" s="217"/>
      <c r="AO136" s="289"/>
      <c r="AP136" s="289"/>
      <c r="AQ136" s="289"/>
      <c r="AR136" s="289"/>
      <c r="AS136" s="289"/>
      <c r="AT136" s="289"/>
    </row>
    <row r="137" spans="2:48" outlineLevel="1" x14ac:dyDescent="0.25">
      <c r="D137" t="s">
        <v>2</v>
      </c>
      <c r="E137" t="s">
        <v>25</v>
      </c>
      <c r="F137" s="21" t="str">
        <f t="shared" si="82"/>
        <v>SCADA/Network controlAugmentation</v>
      </c>
      <c r="K137" s="4"/>
      <c r="L137" s="212">
        <v>546.81941360103633</v>
      </c>
      <c r="M137" s="213">
        <v>711.37365289225738</v>
      </c>
      <c r="N137" s="213">
        <v>0</v>
      </c>
      <c r="O137" s="209"/>
      <c r="P137" s="213">
        <v>1258.1930664932938</v>
      </c>
      <c r="AL137" s="217"/>
      <c r="AM137" s="217"/>
      <c r="AN137" s="217"/>
      <c r="AO137" s="289"/>
      <c r="AP137" s="289"/>
      <c r="AQ137" s="289"/>
      <c r="AR137" s="289"/>
      <c r="AS137" s="289"/>
      <c r="AT137" s="289"/>
    </row>
    <row r="138" spans="2:48" outlineLevel="1" x14ac:dyDescent="0.25">
      <c r="D138" t="s">
        <v>2</v>
      </c>
      <c r="E138" t="s">
        <v>26</v>
      </c>
      <c r="F138" s="21" t="str">
        <f t="shared" si="82"/>
        <v>SCADA/Network controlReplacement</v>
      </c>
      <c r="K138" s="4"/>
      <c r="L138" s="212">
        <v>0</v>
      </c>
      <c r="M138" s="213">
        <v>0</v>
      </c>
      <c r="N138" s="213">
        <v>0</v>
      </c>
      <c r="O138" s="209"/>
      <c r="P138" s="213">
        <v>0</v>
      </c>
      <c r="AL138" s="217"/>
      <c r="AM138" s="217"/>
      <c r="AN138" s="217"/>
      <c r="AO138" s="289"/>
      <c r="AP138" s="289"/>
      <c r="AQ138" s="289"/>
      <c r="AR138" s="289"/>
      <c r="AS138" s="289"/>
      <c r="AT138" s="289"/>
    </row>
    <row r="139" spans="2:48" outlineLevel="1" x14ac:dyDescent="0.25">
      <c r="D139" t="s">
        <v>4</v>
      </c>
      <c r="E139" t="s">
        <v>27</v>
      </c>
      <c r="F139" s="21" t="str">
        <f t="shared" si="82"/>
        <v>LandNon-Network</v>
      </c>
      <c r="K139" s="210"/>
      <c r="L139" s="272">
        <v>62.209781091022769</v>
      </c>
      <c r="M139" s="273">
        <v>80.93055608416438</v>
      </c>
      <c r="N139" s="273">
        <v>0</v>
      </c>
      <c r="O139" s="211"/>
      <c r="P139" s="273">
        <v>143.14033717518714</v>
      </c>
      <c r="AL139" s="217"/>
      <c r="AM139" s="217"/>
      <c r="AN139" s="217"/>
      <c r="AO139" s="289"/>
      <c r="AP139" s="289"/>
      <c r="AQ139" s="289"/>
      <c r="AR139" s="289"/>
      <c r="AS139" s="289"/>
      <c r="AT139" s="289"/>
    </row>
    <row r="140" spans="2:48" s="106" customFormat="1" outlineLevel="1" x14ac:dyDescent="0.25">
      <c r="B140"/>
      <c r="C140" s="21"/>
      <c r="D140"/>
      <c r="E140"/>
      <c r="F140"/>
      <c r="G140"/>
      <c r="H140"/>
      <c r="I140"/>
      <c r="J140"/>
      <c r="K140" s="212">
        <v>0</v>
      </c>
      <c r="L140" s="212">
        <v>2536.6473126278756</v>
      </c>
      <c r="M140" s="213">
        <v>3300</v>
      </c>
      <c r="N140" s="213">
        <v>0</v>
      </c>
      <c r="O140" s="213">
        <v>0</v>
      </c>
      <c r="P140" s="213">
        <v>5836.6473126278761</v>
      </c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 s="217"/>
      <c r="AL140" s="334"/>
      <c r="AM140" s="334"/>
      <c r="AN140" s="334"/>
      <c r="AO140" s="289"/>
      <c r="AP140" s="289"/>
      <c r="AQ140" s="289"/>
      <c r="AR140" s="289"/>
      <c r="AS140" s="289"/>
      <c r="AT140" s="289"/>
    </row>
    <row r="141" spans="2:48" s="106" customFormat="1" outlineLevel="1" x14ac:dyDescent="0.25">
      <c r="B141"/>
      <c r="C141" s="21" t="s">
        <v>432</v>
      </c>
      <c r="D141" t="s">
        <v>3</v>
      </c>
      <c r="E141" t="s">
        <v>25</v>
      </c>
      <c r="F141" s="21" t="str">
        <f t="shared" ref="F141:F145" si="83">D141&amp;E141</f>
        <v>SubtransmissionAugmentation</v>
      </c>
      <c r="G141"/>
      <c r="H141"/>
      <c r="I141"/>
      <c r="J141"/>
      <c r="K141" s="212">
        <v>7070.2962892923206</v>
      </c>
      <c r="L141" s="212">
        <v>2007.6099305345426</v>
      </c>
      <c r="M141" s="213">
        <v>2584.3821947326878</v>
      </c>
      <c r="N141" s="213">
        <v>7999.568735722507</v>
      </c>
      <c r="O141" s="213">
        <v>481.60111950396799</v>
      </c>
      <c r="P141" s="213">
        <v>20143.458269786024</v>
      </c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 s="217"/>
      <c r="AL141" s="334"/>
      <c r="AM141" s="334"/>
      <c r="AN141" s="334"/>
      <c r="AO141" s="289"/>
      <c r="AP141" s="289"/>
      <c r="AQ141" s="289"/>
      <c r="AR141" s="289"/>
      <c r="AS141" s="289"/>
      <c r="AT141" s="289"/>
    </row>
    <row r="142" spans="2:48" s="106" customFormat="1" outlineLevel="1" x14ac:dyDescent="0.25">
      <c r="B142"/>
      <c r="C142" s="21"/>
      <c r="D142" t="s">
        <v>3</v>
      </c>
      <c r="E142" t="s">
        <v>26</v>
      </c>
      <c r="F142" s="21" t="str">
        <f t="shared" si="83"/>
        <v>SubtransmissionReplacement</v>
      </c>
      <c r="G142"/>
      <c r="H142"/>
      <c r="I142"/>
      <c r="J142"/>
      <c r="K142" s="212">
        <v>0</v>
      </c>
      <c r="L142" s="212">
        <v>0</v>
      </c>
      <c r="M142" s="213">
        <v>0</v>
      </c>
      <c r="N142" s="213">
        <v>0</v>
      </c>
      <c r="O142" s="213">
        <v>0</v>
      </c>
      <c r="P142" s="213">
        <v>0</v>
      </c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 s="217"/>
      <c r="AL142" s="334"/>
      <c r="AM142" s="334"/>
      <c r="AN142" s="334"/>
      <c r="AO142" s="289"/>
      <c r="AP142" s="289"/>
      <c r="AQ142" s="289"/>
      <c r="AR142" s="289"/>
      <c r="AS142" s="289"/>
      <c r="AT142" s="289"/>
    </row>
    <row r="143" spans="2:48" s="106" customFormat="1" outlineLevel="1" x14ac:dyDescent="0.25">
      <c r="B143"/>
      <c r="C143" s="21"/>
      <c r="D143" t="s">
        <v>2</v>
      </c>
      <c r="E143" t="s">
        <v>25</v>
      </c>
      <c r="F143" s="21" t="str">
        <f t="shared" si="83"/>
        <v>SCADA/Network controlAugmentation</v>
      </c>
      <c r="G143"/>
      <c r="H143"/>
      <c r="I143"/>
      <c r="J143"/>
      <c r="K143" s="212">
        <v>3881.1432303397974</v>
      </c>
      <c r="L143" s="212">
        <v>546.81941360103633</v>
      </c>
      <c r="M143" s="213">
        <v>711.37365289225738</v>
      </c>
      <c r="N143" s="213">
        <v>557.47690152038115</v>
      </c>
      <c r="O143" s="213">
        <v>17.406820898338012</v>
      </c>
      <c r="P143" s="213">
        <v>5714.2200192518103</v>
      </c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 s="217"/>
      <c r="AL143" s="334"/>
      <c r="AM143" s="334"/>
      <c r="AN143" s="334"/>
      <c r="AO143" s="289"/>
      <c r="AP143" s="289"/>
      <c r="AQ143" s="289"/>
      <c r="AR143" s="289"/>
      <c r="AS143" s="289"/>
      <c r="AT143" s="289"/>
    </row>
    <row r="144" spans="2:48" s="106" customFormat="1" outlineLevel="1" x14ac:dyDescent="0.25">
      <c r="B144"/>
      <c r="C144" s="21"/>
      <c r="D144" t="s">
        <v>2</v>
      </c>
      <c r="E144" t="s">
        <v>26</v>
      </c>
      <c r="F144" s="21" t="str">
        <f t="shared" si="83"/>
        <v>SCADA/Network controlReplacement</v>
      </c>
      <c r="G144"/>
      <c r="H144"/>
      <c r="I144"/>
      <c r="J144"/>
      <c r="K144" s="212">
        <v>0</v>
      </c>
      <c r="L144" s="212">
        <v>0</v>
      </c>
      <c r="M144" s="213">
        <v>0</v>
      </c>
      <c r="N144" s="213">
        <v>0</v>
      </c>
      <c r="O144" s="213">
        <v>0</v>
      </c>
      <c r="P144" s="213">
        <v>0</v>
      </c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 s="217"/>
      <c r="AL144" s="334"/>
      <c r="AM144" s="334"/>
      <c r="AN144" s="334"/>
      <c r="AO144" s="289"/>
      <c r="AP144" s="289"/>
      <c r="AQ144" s="289"/>
      <c r="AR144" s="289"/>
      <c r="AS144" s="289"/>
      <c r="AT144" s="289"/>
    </row>
    <row r="145" spans="2:46" s="106" customFormat="1" outlineLevel="1" x14ac:dyDescent="0.25">
      <c r="B145"/>
      <c r="C145" s="21"/>
      <c r="D145" t="s">
        <v>4</v>
      </c>
      <c r="E145" t="s">
        <v>27</v>
      </c>
      <c r="F145" s="21" t="str">
        <f t="shared" si="83"/>
        <v>LandNon-Network</v>
      </c>
      <c r="G145"/>
      <c r="H145"/>
      <c r="I145"/>
      <c r="J145"/>
      <c r="K145" s="272">
        <v>0</v>
      </c>
      <c r="L145" s="272">
        <v>62.209781091022769</v>
      </c>
      <c r="M145" s="273">
        <v>80.93055608416438</v>
      </c>
      <c r="N145" s="273">
        <v>506.947</v>
      </c>
      <c r="O145" s="273">
        <v>0</v>
      </c>
      <c r="P145" s="273">
        <v>650.08733717518714</v>
      </c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 s="217"/>
      <c r="AL145" s="334"/>
      <c r="AM145" s="334"/>
      <c r="AN145" s="334"/>
      <c r="AO145" s="289"/>
      <c r="AP145" s="289"/>
      <c r="AQ145" s="289"/>
      <c r="AR145" s="289"/>
      <c r="AS145" s="289"/>
      <c r="AT145" s="289"/>
    </row>
    <row r="146" spans="2:46" s="106" customFormat="1" outlineLevel="1" x14ac:dyDescent="0.25">
      <c r="B146"/>
      <c r="C146" s="21"/>
      <c r="D146"/>
      <c r="E146"/>
      <c r="F146"/>
      <c r="G146"/>
      <c r="H146"/>
      <c r="I146"/>
      <c r="J146"/>
      <c r="K146" s="212">
        <v>10951.439519632118</v>
      </c>
      <c r="L146" s="212">
        <v>2616.6391252266017</v>
      </c>
      <c r="M146" s="213">
        <v>3376.6864037091095</v>
      </c>
      <c r="N146" s="213">
        <v>9063.992637242889</v>
      </c>
      <c r="O146" s="213">
        <v>499.00794040230602</v>
      </c>
      <c r="P146" s="213">
        <v>26507.765626213022</v>
      </c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 s="217"/>
      <c r="AL146" s="334"/>
      <c r="AM146" s="334"/>
      <c r="AN146" s="334"/>
      <c r="AO146" s="289"/>
      <c r="AP146" s="289"/>
      <c r="AQ146" s="289"/>
      <c r="AR146" s="289"/>
      <c r="AS146" s="289"/>
      <c r="AT146" s="289"/>
    </row>
    <row r="147" spans="2:46" s="106" customFormat="1" outlineLevel="1" x14ac:dyDescent="0.25">
      <c r="B147"/>
      <c r="C147" s="21"/>
      <c r="D147"/>
      <c r="E147"/>
      <c r="F147"/>
      <c r="G147"/>
      <c r="H147"/>
      <c r="I147"/>
      <c r="J147"/>
      <c r="K147" s="94">
        <v>0</v>
      </c>
      <c r="L147" s="94">
        <v>0</v>
      </c>
      <c r="M147" s="274">
        <v>0</v>
      </c>
      <c r="N147" s="274">
        <v>0</v>
      </c>
      <c r="O147" s="274">
        <v>0</v>
      </c>
      <c r="P147" s="274">
        <v>0</v>
      </c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 s="217"/>
      <c r="AL147" s="334"/>
      <c r="AM147" s="334"/>
      <c r="AN147" s="334"/>
      <c r="AO147" s="289"/>
      <c r="AP147" s="289"/>
      <c r="AQ147" s="289"/>
      <c r="AR147" s="289"/>
      <c r="AS147" s="289"/>
      <c r="AT147" s="289"/>
    </row>
    <row r="148" spans="2:46" s="106" customFormat="1" outlineLevel="1" x14ac:dyDescent="0.25">
      <c r="B148"/>
      <c r="C148" s="21" t="s">
        <v>394</v>
      </c>
      <c r="D148" t="s">
        <v>3</v>
      </c>
      <c r="E148" t="s">
        <v>25</v>
      </c>
      <c r="F148" s="21" t="str">
        <f t="shared" ref="F148:F149" si="84">D148&amp;E148</f>
        <v>SubtransmissionAugmentation</v>
      </c>
      <c r="G148"/>
      <c r="H148"/>
      <c r="I148"/>
      <c r="J148"/>
      <c r="K148" s="212">
        <v>0</v>
      </c>
      <c r="L148" s="212">
        <v>0</v>
      </c>
      <c r="M148" s="213">
        <v>0</v>
      </c>
      <c r="N148" s="213">
        <v>20.625615000000003</v>
      </c>
      <c r="O148" s="213">
        <v>0</v>
      </c>
      <c r="P148" s="213">
        <v>20.625615000000003</v>
      </c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 s="217"/>
      <c r="AL148" s="334"/>
      <c r="AM148" s="334"/>
      <c r="AN148" s="334"/>
      <c r="AO148" s="289"/>
      <c r="AP148" s="289"/>
      <c r="AQ148" s="289"/>
      <c r="AR148" s="289"/>
      <c r="AS148" s="289"/>
      <c r="AT148" s="289"/>
    </row>
    <row r="149" spans="2:46" s="106" customFormat="1" outlineLevel="1" x14ac:dyDescent="0.25">
      <c r="B149"/>
      <c r="C149" s="21"/>
      <c r="D149" t="s">
        <v>3</v>
      </c>
      <c r="E149" t="s">
        <v>26</v>
      </c>
      <c r="F149" s="21" t="str">
        <f t="shared" si="84"/>
        <v>SubtransmissionReplacement</v>
      </c>
      <c r="G149"/>
      <c r="H149"/>
      <c r="I149"/>
      <c r="J149"/>
      <c r="K149" s="212">
        <v>0</v>
      </c>
      <c r="L149" s="212">
        <v>0</v>
      </c>
      <c r="M149" s="213">
        <v>0</v>
      </c>
      <c r="N149" s="213">
        <v>0</v>
      </c>
      <c r="O149" s="213">
        <v>0</v>
      </c>
      <c r="P149" s="213">
        <v>0</v>
      </c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 s="217"/>
      <c r="AL149" s="334"/>
      <c r="AM149" s="334"/>
      <c r="AN149" s="334"/>
      <c r="AO149" s="289"/>
      <c r="AP149" s="289"/>
      <c r="AQ149" s="289"/>
      <c r="AR149" s="289"/>
      <c r="AS149" s="289"/>
      <c r="AT149" s="289"/>
    </row>
    <row r="150" spans="2:46" s="106" customFormat="1" outlineLevel="1" x14ac:dyDescent="0.25">
      <c r="B150"/>
      <c r="C150" s="242"/>
      <c r="D150" t="s">
        <v>86</v>
      </c>
      <c r="E150" t="s">
        <v>25</v>
      </c>
      <c r="F150" s="21" t="str">
        <f t="shared" si="81"/>
        <v>Distribution system assetsAugmentation</v>
      </c>
      <c r="G150"/>
      <c r="H150"/>
      <c r="I150"/>
      <c r="J150"/>
      <c r="K150" s="212">
        <v>1569.7203570232709</v>
      </c>
      <c r="L150" s="212">
        <v>37.838899707014235</v>
      </c>
      <c r="M150" s="213">
        <v>4.7858004636387212</v>
      </c>
      <c r="N150" s="213">
        <v>2074.4464423831232</v>
      </c>
      <c r="O150" s="213">
        <v>271.58462338293106</v>
      </c>
      <c r="P150" s="213">
        <v>3958.3761229599781</v>
      </c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 s="217"/>
      <c r="AL150" s="334"/>
      <c r="AM150" s="334"/>
      <c r="AN150" s="334"/>
      <c r="AO150" s="334"/>
      <c r="AP150" s="334"/>
      <c r="AQ150" s="334"/>
      <c r="AR150" s="334"/>
      <c r="AS150" s="334"/>
      <c r="AT150" s="334"/>
    </row>
    <row r="151" spans="2:46" s="106" customFormat="1" outlineLevel="1" x14ac:dyDescent="0.25">
      <c r="B151"/>
      <c r="C151" s="21"/>
      <c r="D151" t="s">
        <v>86</v>
      </c>
      <c r="E151" t="s">
        <v>26</v>
      </c>
      <c r="F151" s="21" t="str">
        <f t="shared" si="81"/>
        <v>Distribution system assetsReplacement</v>
      </c>
      <c r="G151"/>
      <c r="H151"/>
      <c r="I151"/>
      <c r="J151"/>
      <c r="K151" s="272">
        <v>166.04307692307691</v>
      </c>
      <c r="L151" s="272">
        <v>0</v>
      </c>
      <c r="M151" s="273">
        <v>0</v>
      </c>
      <c r="N151" s="273">
        <v>809.07164444392265</v>
      </c>
      <c r="O151" s="273">
        <v>6.6</v>
      </c>
      <c r="P151" s="273">
        <v>981.71472136699958</v>
      </c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 s="217"/>
      <c r="AL151" s="333"/>
      <c r="AM151" s="217"/>
      <c r="AN151" s="217"/>
      <c r="AO151" s="217"/>
      <c r="AP151" s="217"/>
      <c r="AQ151" s="217"/>
      <c r="AR151" s="217"/>
      <c r="AS151" s="217"/>
      <c r="AT151" s="217"/>
    </row>
    <row r="152" spans="2:46" s="106" customFormat="1" outlineLevel="1" x14ac:dyDescent="0.25">
      <c r="B152"/>
      <c r="C152" s="21"/>
      <c r="D152"/>
      <c r="E152"/>
      <c r="F152"/>
      <c r="G152"/>
      <c r="H152"/>
      <c r="I152"/>
      <c r="J152"/>
      <c r="K152" s="241">
        <v>1735.763433946348</v>
      </c>
      <c r="L152" s="241">
        <v>37.838899707014235</v>
      </c>
      <c r="M152" s="241">
        <v>4.7858004636387212</v>
      </c>
      <c r="N152" s="241">
        <v>2904.1437018270458</v>
      </c>
      <c r="O152" s="241">
        <v>278.18462338293108</v>
      </c>
      <c r="P152" s="241">
        <v>4960.7164593269772</v>
      </c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</row>
    <row r="153" spans="2:46" s="106" customFormat="1" outlineLevel="1" x14ac:dyDescent="0.25">
      <c r="B153"/>
      <c r="C153" s="21"/>
      <c r="D153"/>
      <c r="E153"/>
      <c r="F153"/>
      <c r="G153"/>
      <c r="H153"/>
      <c r="I153"/>
      <c r="J153"/>
      <c r="K153" s="250">
        <v>1.7053025658242404E-13</v>
      </c>
      <c r="L153" s="250">
        <v>0</v>
      </c>
      <c r="M153" s="250">
        <v>0</v>
      </c>
      <c r="N153" s="250">
        <v>0</v>
      </c>
      <c r="O153" s="250">
        <v>5.1514348342607263E-14</v>
      </c>
      <c r="P153" s="250">
        <v>0</v>
      </c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 s="217"/>
      <c r="AL153" s="334"/>
      <c r="AM153" s="334"/>
      <c r="AN153" s="334"/>
      <c r="AO153" s="289"/>
      <c r="AP153" s="289"/>
      <c r="AQ153" s="289"/>
      <c r="AR153" s="289"/>
      <c r="AS153" s="289"/>
      <c r="AT153" s="289"/>
    </row>
    <row r="154" spans="2:46" outlineLevel="1" x14ac:dyDescent="0.25">
      <c r="C154" s="21" t="s">
        <v>399</v>
      </c>
      <c r="D154" t="s">
        <v>3</v>
      </c>
      <c r="E154" t="s">
        <v>25</v>
      </c>
      <c r="F154" s="21" t="str">
        <f t="shared" ref="F154:F157" si="85">D154&amp;E154</f>
        <v>SubtransmissionAugmentation</v>
      </c>
      <c r="K154" s="212">
        <v>0</v>
      </c>
      <c r="L154" s="212">
        <v>0</v>
      </c>
      <c r="M154" s="212">
        <v>0</v>
      </c>
      <c r="N154" s="212">
        <v>330.00983999999994</v>
      </c>
      <c r="O154" s="212">
        <v>0</v>
      </c>
      <c r="P154" s="212">
        <v>330.00983999999994</v>
      </c>
      <c r="AL154" s="217"/>
      <c r="AM154" s="217"/>
      <c r="AN154" s="217"/>
      <c r="AO154" s="289"/>
      <c r="AP154" s="289"/>
      <c r="AQ154" s="289"/>
      <c r="AR154" s="289"/>
      <c r="AS154" s="289"/>
      <c r="AT154" s="289"/>
    </row>
    <row r="155" spans="2:46" outlineLevel="1" x14ac:dyDescent="0.25">
      <c r="D155" t="s">
        <v>3</v>
      </c>
      <c r="E155" t="s">
        <v>26</v>
      </c>
      <c r="F155" s="21" t="str">
        <f t="shared" si="85"/>
        <v>SubtransmissionReplacement</v>
      </c>
      <c r="K155" s="212">
        <v>0</v>
      </c>
      <c r="L155" s="212">
        <v>0</v>
      </c>
      <c r="M155" s="212">
        <v>0</v>
      </c>
      <c r="N155" s="212">
        <v>0</v>
      </c>
      <c r="O155" s="212">
        <v>0</v>
      </c>
      <c r="P155" s="212">
        <v>0</v>
      </c>
      <c r="AL155" s="217"/>
      <c r="AM155" s="217"/>
      <c r="AN155" s="217"/>
      <c r="AO155" s="289"/>
      <c r="AP155" s="289"/>
      <c r="AQ155" s="289"/>
      <c r="AR155" s="289"/>
      <c r="AS155" s="289"/>
      <c r="AT155" s="289"/>
    </row>
    <row r="156" spans="2:46" outlineLevel="1" x14ac:dyDescent="0.25">
      <c r="D156" t="s">
        <v>86</v>
      </c>
      <c r="E156" t="s">
        <v>25</v>
      </c>
      <c r="F156" s="21" t="str">
        <f t="shared" si="85"/>
        <v>Distribution system assetsAugmentation</v>
      </c>
      <c r="K156" s="212">
        <v>2176.6484545703124</v>
      </c>
      <c r="L156" s="212">
        <v>47.165872032777521</v>
      </c>
      <c r="M156" s="212">
        <v>4.7858004636387212</v>
      </c>
      <c r="N156" s="212">
        <v>2681.8322797001674</v>
      </c>
      <c r="O156" s="212">
        <v>412.1648551058679</v>
      </c>
      <c r="P156" s="212">
        <v>5322.5972618727637</v>
      </c>
      <c r="AL156" s="217"/>
      <c r="AM156" s="217"/>
      <c r="AN156" s="217"/>
      <c r="AO156" s="289"/>
      <c r="AP156" s="289"/>
      <c r="AQ156" s="289"/>
      <c r="AR156" s="289"/>
      <c r="AS156" s="289"/>
      <c r="AT156" s="289"/>
    </row>
    <row r="157" spans="2:46" outlineLevel="1" x14ac:dyDescent="0.25">
      <c r="D157" t="s">
        <v>86</v>
      </c>
      <c r="E157" t="s">
        <v>26</v>
      </c>
      <c r="F157" s="21" t="str">
        <f t="shared" si="85"/>
        <v>Distribution system assetsReplacement</v>
      </c>
      <c r="K157" s="272">
        <v>399.96</v>
      </c>
      <c r="L157" s="272">
        <v>0</v>
      </c>
      <c r="M157" s="272">
        <v>0</v>
      </c>
      <c r="N157" s="272">
        <v>1277.3409016632002</v>
      </c>
      <c r="O157" s="272">
        <v>18.150000000000002</v>
      </c>
      <c r="P157" s="272">
        <v>1695.4509016632003</v>
      </c>
      <c r="AL157" s="217"/>
      <c r="AM157" s="217"/>
      <c r="AN157" s="217"/>
      <c r="AO157" s="289"/>
      <c r="AP157" s="289"/>
      <c r="AQ157" s="289"/>
      <c r="AR157" s="289"/>
      <c r="AS157" s="289"/>
      <c r="AT157" s="289"/>
    </row>
    <row r="158" spans="2:46" outlineLevel="1" x14ac:dyDescent="0.25">
      <c r="K158" s="241">
        <v>2576.6084545703125</v>
      </c>
      <c r="L158" s="241">
        <v>47.165872032777521</v>
      </c>
      <c r="M158" s="241">
        <v>4.7858004636387212</v>
      </c>
      <c r="N158" s="241">
        <v>4289.1830213633675</v>
      </c>
      <c r="O158" s="241">
        <v>430.31485510586788</v>
      </c>
      <c r="P158" s="241">
        <v>7348.0580035359635</v>
      </c>
      <c r="AL158" s="217"/>
      <c r="AM158" s="217"/>
      <c r="AN158" s="217"/>
      <c r="AO158" s="289"/>
      <c r="AP158" s="289"/>
      <c r="AQ158" s="289"/>
      <c r="AR158" s="289"/>
      <c r="AS158" s="289"/>
      <c r="AT158" s="289"/>
    </row>
    <row r="159" spans="2:46" outlineLevel="1" x14ac:dyDescent="0.25">
      <c r="K159" s="271">
        <f>K158-K113-K121</f>
        <v>-3.694822225952521E-13</v>
      </c>
      <c r="L159" s="271">
        <f t="shared" ref="L159:P159" si="86">L158-L113-L121</f>
        <v>0</v>
      </c>
      <c r="M159" s="271">
        <f t="shared" si="86"/>
        <v>0</v>
      </c>
      <c r="N159" s="271">
        <f t="shared" si="86"/>
        <v>0</v>
      </c>
      <c r="O159" s="271">
        <f t="shared" si="86"/>
        <v>-3.0198066269804258E-14</v>
      </c>
      <c r="P159" s="271">
        <f t="shared" si="86"/>
        <v>-5.1159076974727213E-13</v>
      </c>
      <c r="AL159" s="217"/>
      <c r="AM159" s="217"/>
      <c r="AN159" s="217"/>
      <c r="AO159" s="289"/>
      <c r="AP159" s="289"/>
      <c r="AQ159" s="289"/>
      <c r="AR159" s="289"/>
      <c r="AS159" s="289"/>
      <c r="AT159" s="289"/>
    </row>
    <row r="160" spans="2:46" x14ac:dyDescent="0.25">
      <c r="AL160" s="217"/>
      <c r="AM160" s="217"/>
      <c r="AN160" s="217"/>
      <c r="AO160" s="289"/>
      <c r="AP160" s="289"/>
      <c r="AQ160" s="289"/>
      <c r="AR160" s="289"/>
      <c r="AS160" s="289"/>
      <c r="AT160" s="289"/>
    </row>
    <row r="161" spans="38:46" x14ac:dyDescent="0.25">
      <c r="AL161" s="217"/>
      <c r="AM161" s="217"/>
      <c r="AN161" s="217"/>
      <c r="AO161" s="289"/>
      <c r="AP161" s="289"/>
      <c r="AQ161" s="289"/>
      <c r="AR161" s="289"/>
      <c r="AS161" s="289"/>
      <c r="AT161" s="289"/>
    </row>
    <row r="162" spans="38:46" x14ac:dyDescent="0.25">
      <c r="AL162" s="217"/>
      <c r="AM162" s="217"/>
      <c r="AN162" s="217"/>
      <c r="AO162" s="217"/>
      <c r="AP162" s="217"/>
      <c r="AQ162" s="217"/>
      <c r="AR162" s="217"/>
      <c r="AS162" s="217"/>
      <c r="AT162" s="217"/>
    </row>
    <row r="163" spans="38:46" x14ac:dyDescent="0.25">
      <c r="AL163" s="333"/>
      <c r="AM163" s="217"/>
      <c r="AN163" s="217"/>
      <c r="AO163" s="217"/>
      <c r="AP163" s="217"/>
      <c r="AQ163" s="217"/>
      <c r="AR163" s="217"/>
      <c r="AS163" s="217"/>
      <c r="AT163" s="217"/>
    </row>
    <row r="164" spans="38:46" x14ac:dyDescent="0.25">
      <c r="AL164" s="217"/>
      <c r="AM164" s="217"/>
      <c r="AN164" s="217"/>
      <c r="AO164" s="217"/>
      <c r="AP164" s="217"/>
      <c r="AQ164" s="217"/>
      <c r="AR164" s="217"/>
      <c r="AS164" s="217"/>
      <c r="AT164" s="217"/>
    </row>
    <row r="165" spans="38:46" x14ac:dyDescent="0.25">
      <c r="AL165" s="217"/>
      <c r="AM165" s="217"/>
      <c r="AN165" s="217"/>
      <c r="AO165" s="289"/>
      <c r="AP165" s="289"/>
      <c r="AQ165" s="289"/>
      <c r="AR165" s="289"/>
      <c r="AS165" s="289"/>
      <c r="AT165" s="289"/>
    </row>
    <row r="166" spans="38:46" x14ac:dyDescent="0.25">
      <c r="AL166" s="217"/>
      <c r="AM166" s="217"/>
      <c r="AN166" s="217"/>
      <c r="AO166" s="289"/>
      <c r="AP166" s="289"/>
      <c r="AQ166" s="289"/>
      <c r="AR166" s="289"/>
      <c r="AS166" s="289"/>
      <c r="AT166" s="289"/>
    </row>
    <row r="167" spans="38:46" x14ac:dyDescent="0.25">
      <c r="AL167" s="217"/>
      <c r="AM167" s="217"/>
      <c r="AN167" s="217"/>
      <c r="AO167" s="289"/>
      <c r="AP167" s="289"/>
      <c r="AQ167" s="289"/>
      <c r="AR167" s="289"/>
      <c r="AS167" s="289"/>
      <c r="AT167" s="289"/>
    </row>
    <row r="168" spans="38:46" x14ac:dyDescent="0.25">
      <c r="AL168" s="217"/>
      <c r="AM168" s="217"/>
      <c r="AN168" s="217"/>
      <c r="AO168" s="289"/>
      <c r="AP168" s="289"/>
      <c r="AQ168" s="289"/>
      <c r="AR168" s="289"/>
      <c r="AS168" s="289"/>
      <c r="AT168" s="289"/>
    </row>
    <row r="169" spans="38:46" x14ac:dyDescent="0.25">
      <c r="AL169" s="217"/>
      <c r="AM169" s="217"/>
      <c r="AN169" s="217"/>
      <c r="AO169" s="289"/>
      <c r="AP169" s="289"/>
      <c r="AQ169" s="289"/>
      <c r="AR169" s="289"/>
      <c r="AS169" s="289"/>
      <c r="AT169" s="289"/>
    </row>
    <row r="170" spans="38:46" x14ac:dyDescent="0.25">
      <c r="AL170" s="217"/>
      <c r="AM170" s="217"/>
      <c r="AN170" s="217"/>
      <c r="AO170" s="289"/>
      <c r="AP170" s="289"/>
      <c r="AQ170" s="289"/>
      <c r="AR170" s="289"/>
      <c r="AS170" s="289"/>
      <c r="AT170" s="289"/>
    </row>
    <row r="171" spans="38:46" x14ac:dyDescent="0.25">
      <c r="AL171" s="217"/>
      <c r="AM171" s="217"/>
      <c r="AN171" s="217"/>
      <c r="AO171" s="289"/>
      <c r="AP171" s="289"/>
      <c r="AQ171" s="289"/>
      <c r="AR171" s="289"/>
      <c r="AS171" s="289"/>
      <c r="AT171" s="289"/>
    </row>
    <row r="172" spans="38:46" x14ac:dyDescent="0.25">
      <c r="AL172" s="217"/>
      <c r="AM172" s="217"/>
      <c r="AN172" s="217"/>
      <c r="AO172" s="289"/>
      <c r="AP172" s="289"/>
      <c r="AQ172" s="289"/>
      <c r="AR172" s="289"/>
      <c r="AS172" s="289"/>
      <c r="AT172" s="289"/>
    </row>
    <row r="173" spans="38:46" x14ac:dyDescent="0.25">
      <c r="AL173" s="217"/>
      <c r="AM173" s="217"/>
      <c r="AN173" s="217"/>
      <c r="AO173" s="289"/>
      <c r="AP173" s="289"/>
      <c r="AQ173" s="289"/>
      <c r="AR173" s="289"/>
      <c r="AS173" s="289"/>
      <c r="AT173" s="289"/>
    </row>
    <row r="174" spans="38:46" x14ac:dyDescent="0.25">
      <c r="AL174" s="217"/>
      <c r="AM174" s="217"/>
      <c r="AN174" s="217"/>
      <c r="AO174" s="289"/>
      <c r="AP174" s="289"/>
      <c r="AQ174" s="289"/>
      <c r="AR174" s="289"/>
      <c r="AS174" s="289"/>
      <c r="AT174" s="289"/>
    </row>
    <row r="175" spans="38:46" x14ac:dyDescent="0.25">
      <c r="AL175" s="217"/>
      <c r="AM175" s="217"/>
      <c r="AN175" s="217"/>
      <c r="AO175" s="289"/>
      <c r="AP175" s="289"/>
      <c r="AQ175" s="289"/>
      <c r="AR175" s="289"/>
      <c r="AS175" s="289"/>
      <c r="AT175" s="289"/>
    </row>
    <row r="176" spans="38:46" x14ac:dyDescent="0.25">
      <c r="AL176" s="217"/>
      <c r="AM176" s="217"/>
      <c r="AN176" s="217"/>
      <c r="AO176" s="289"/>
      <c r="AP176" s="289"/>
      <c r="AQ176" s="289"/>
      <c r="AR176" s="289"/>
      <c r="AS176" s="289"/>
      <c r="AT176" s="289"/>
    </row>
    <row r="177" spans="38:46" x14ac:dyDescent="0.25">
      <c r="AL177" s="217"/>
      <c r="AM177" s="217"/>
      <c r="AN177" s="217"/>
      <c r="AO177" s="289"/>
      <c r="AP177" s="289"/>
      <c r="AQ177" s="289"/>
      <c r="AR177" s="289"/>
      <c r="AS177" s="289"/>
      <c r="AT177" s="289"/>
    </row>
    <row r="178" spans="38:46" x14ac:dyDescent="0.25">
      <c r="AL178" s="217"/>
      <c r="AM178" s="217"/>
      <c r="AN178" s="217"/>
      <c r="AO178" s="289"/>
      <c r="AP178" s="289"/>
      <c r="AQ178" s="289"/>
      <c r="AR178" s="289"/>
      <c r="AS178" s="289"/>
      <c r="AT178" s="289"/>
    </row>
    <row r="179" spans="38:46" x14ac:dyDescent="0.25">
      <c r="AL179" s="217"/>
      <c r="AM179" s="217"/>
      <c r="AN179" s="217"/>
      <c r="AO179" s="289"/>
      <c r="AP179" s="289"/>
      <c r="AQ179" s="289"/>
      <c r="AR179" s="289"/>
      <c r="AS179" s="289"/>
      <c r="AT179" s="289"/>
    </row>
    <row r="180" spans="38:46" x14ac:dyDescent="0.25">
      <c r="AL180" s="217"/>
      <c r="AM180" s="217"/>
      <c r="AN180" s="217"/>
      <c r="AO180" s="217"/>
      <c r="AP180" s="217"/>
      <c r="AQ180" s="217"/>
      <c r="AR180" s="217"/>
      <c r="AS180" s="217"/>
      <c r="AT180" s="217"/>
    </row>
    <row r="181" spans="38:46" x14ac:dyDescent="0.25">
      <c r="AL181" s="333"/>
      <c r="AM181" s="217"/>
      <c r="AN181" s="217"/>
      <c r="AO181" s="217"/>
      <c r="AP181" s="217"/>
      <c r="AQ181" s="217"/>
      <c r="AR181" s="217"/>
      <c r="AS181" s="217"/>
      <c r="AT181" s="217"/>
    </row>
    <row r="182" spans="38:46" x14ac:dyDescent="0.25">
      <c r="AL182" s="217"/>
      <c r="AM182" s="217"/>
      <c r="AN182" s="217"/>
      <c r="AO182" s="217"/>
      <c r="AP182" s="217"/>
      <c r="AQ182" s="217"/>
      <c r="AR182" s="217"/>
      <c r="AS182" s="217"/>
      <c r="AT182" s="217"/>
    </row>
    <row r="183" spans="38:46" x14ac:dyDescent="0.25">
      <c r="AL183" s="217"/>
      <c r="AM183" s="217"/>
      <c r="AN183" s="217"/>
      <c r="AO183" s="289"/>
      <c r="AP183" s="289"/>
      <c r="AQ183" s="289"/>
      <c r="AR183" s="289"/>
      <c r="AS183" s="289"/>
      <c r="AT183" s="289"/>
    </row>
    <row r="184" spans="38:46" x14ac:dyDescent="0.25">
      <c r="AL184" s="217"/>
      <c r="AM184" s="217"/>
      <c r="AN184" s="217"/>
      <c r="AO184" s="289"/>
      <c r="AP184" s="289"/>
      <c r="AQ184" s="289"/>
      <c r="AR184" s="289"/>
      <c r="AS184" s="289"/>
      <c r="AT184" s="289"/>
    </row>
    <row r="185" spans="38:46" x14ac:dyDescent="0.25">
      <c r="AL185" s="217"/>
      <c r="AM185" s="217"/>
      <c r="AN185" s="217"/>
      <c r="AO185" s="289"/>
      <c r="AP185" s="289"/>
      <c r="AQ185" s="289"/>
      <c r="AR185" s="289"/>
      <c r="AS185" s="289"/>
      <c r="AT185" s="289"/>
    </row>
    <row r="186" spans="38:46" x14ac:dyDescent="0.25">
      <c r="AL186" s="217"/>
      <c r="AM186" s="217"/>
      <c r="AN186" s="217"/>
      <c r="AO186" s="289"/>
      <c r="AP186" s="289"/>
      <c r="AQ186" s="289"/>
      <c r="AR186" s="289"/>
      <c r="AS186" s="289"/>
      <c r="AT186" s="289"/>
    </row>
    <row r="187" spans="38:46" x14ac:dyDescent="0.25">
      <c r="AL187" s="217"/>
      <c r="AM187" s="217"/>
      <c r="AN187" s="217"/>
      <c r="AO187" s="289"/>
      <c r="AP187" s="289"/>
      <c r="AQ187" s="289"/>
      <c r="AR187" s="289"/>
      <c r="AS187" s="289"/>
      <c r="AT187" s="289"/>
    </row>
    <row r="188" spans="38:46" x14ac:dyDescent="0.25">
      <c r="AL188" s="217"/>
      <c r="AM188" s="217"/>
      <c r="AN188" s="217"/>
      <c r="AO188" s="289"/>
      <c r="AP188" s="289"/>
      <c r="AQ188" s="289"/>
      <c r="AR188" s="289"/>
      <c r="AS188" s="289"/>
      <c r="AT188" s="289"/>
    </row>
    <row r="189" spans="38:46" x14ac:dyDescent="0.25">
      <c r="AL189" s="217"/>
      <c r="AM189" s="217"/>
      <c r="AN189" s="217"/>
      <c r="AO189" s="289"/>
      <c r="AP189" s="289"/>
      <c r="AQ189" s="289"/>
      <c r="AR189" s="289"/>
      <c r="AS189" s="289"/>
      <c r="AT189" s="289"/>
    </row>
    <row r="190" spans="38:46" x14ac:dyDescent="0.25">
      <c r="AL190" s="217"/>
      <c r="AM190" s="217"/>
      <c r="AN190" s="217"/>
      <c r="AO190" s="289"/>
      <c r="AP190" s="289"/>
      <c r="AQ190" s="289"/>
      <c r="AR190" s="289"/>
      <c r="AS190" s="289"/>
      <c r="AT190" s="289"/>
    </row>
    <row r="191" spans="38:46" x14ac:dyDescent="0.25">
      <c r="AL191" s="217"/>
      <c r="AM191" s="217"/>
      <c r="AN191" s="217"/>
      <c r="AO191" s="289"/>
      <c r="AP191" s="289"/>
      <c r="AQ191" s="289"/>
      <c r="AR191" s="289"/>
      <c r="AS191" s="289"/>
      <c r="AT191" s="289"/>
    </row>
    <row r="192" spans="38:46" x14ac:dyDescent="0.25">
      <c r="AL192" s="217"/>
      <c r="AM192" s="217"/>
      <c r="AN192" s="217"/>
      <c r="AO192" s="289"/>
      <c r="AP192" s="289"/>
      <c r="AQ192" s="289"/>
      <c r="AR192" s="289"/>
      <c r="AS192" s="289"/>
      <c r="AT192" s="289"/>
    </row>
    <row r="193" spans="38:46" x14ac:dyDescent="0.25">
      <c r="AL193" s="217"/>
      <c r="AM193" s="217"/>
      <c r="AN193" s="217"/>
      <c r="AO193" s="289"/>
      <c r="AP193" s="289"/>
      <c r="AQ193" s="289"/>
      <c r="AR193" s="289"/>
      <c r="AS193" s="289"/>
      <c r="AT193" s="289"/>
    </row>
    <row r="194" spans="38:46" x14ac:dyDescent="0.25">
      <c r="AL194" s="217"/>
      <c r="AM194" s="217"/>
      <c r="AN194" s="217"/>
      <c r="AO194" s="289"/>
      <c r="AP194" s="289"/>
      <c r="AQ194" s="289"/>
      <c r="AR194" s="289"/>
      <c r="AS194" s="289"/>
      <c r="AT194" s="289"/>
    </row>
    <row r="195" spans="38:46" x14ac:dyDescent="0.25">
      <c r="AL195" s="217"/>
      <c r="AM195" s="217"/>
      <c r="AN195" s="217"/>
      <c r="AO195" s="289"/>
      <c r="AP195" s="289"/>
      <c r="AQ195" s="289"/>
      <c r="AR195" s="289"/>
      <c r="AS195" s="289"/>
      <c r="AT195" s="289"/>
    </row>
    <row r="196" spans="38:46" x14ac:dyDescent="0.25">
      <c r="AL196" s="217"/>
      <c r="AM196" s="217"/>
      <c r="AN196" s="217"/>
      <c r="AO196" s="289"/>
      <c r="AP196" s="289"/>
      <c r="AQ196" s="289"/>
      <c r="AR196" s="289"/>
      <c r="AS196" s="289"/>
      <c r="AT196" s="289"/>
    </row>
    <row r="197" spans="38:46" x14ac:dyDescent="0.25">
      <c r="AL197" s="217"/>
      <c r="AM197" s="217"/>
      <c r="AN197" s="217"/>
      <c r="AO197" s="289"/>
      <c r="AP197" s="289"/>
      <c r="AQ197" s="289"/>
      <c r="AR197" s="289"/>
      <c r="AS197" s="289"/>
      <c r="AT197" s="289"/>
    </row>
    <row r="198" spans="38:46" x14ac:dyDescent="0.25">
      <c r="AL198" s="217"/>
      <c r="AM198" s="217"/>
      <c r="AN198" s="217"/>
      <c r="AO198" s="217"/>
      <c r="AP198" s="217"/>
      <c r="AQ198" s="217"/>
      <c r="AR198" s="217"/>
      <c r="AS198" s="217"/>
      <c r="AT198" s="217"/>
    </row>
    <row r="199" spans="38:46" x14ac:dyDescent="0.25">
      <c r="AL199" s="333"/>
      <c r="AM199" s="217"/>
      <c r="AN199" s="217"/>
      <c r="AO199" s="217"/>
      <c r="AP199" s="217"/>
      <c r="AQ199" s="217"/>
      <c r="AR199" s="217"/>
      <c r="AS199" s="217"/>
      <c r="AT199" s="217"/>
    </row>
    <row r="200" spans="38:46" x14ac:dyDescent="0.25">
      <c r="AL200" s="217"/>
      <c r="AM200" s="217"/>
      <c r="AN200" s="217"/>
      <c r="AO200" s="217"/>
      <c r="AP200" s="217"/>
      <c r="AQ200" s="217"/>
      <c r="AR200" s="217"/>
      <c r="AS200" s="217"/>
      <c r="AT200" s="217"/>
    </row>
    <row r="201" spans="38:46" x14ac:dyDescent="0.25">
      <c r="AL201" s="217"/>
      <c r="AM201" s="217"/>
      <c r="AN201" s="217"/>
      <c r="AO201" s="289"/>
      <c r="AP201" s="289"/>
      <c r="AQ201" s="289"/>
      <c r="AR201" s="289"/>
      <c r="AS201" s="289"/>
      <c r="AT201" s="289"/>
    </row>
    <row r="202" spans="38:46" x14ac:dyDescent="0.25">
      <c r="AL202" s="217"/>
      <c r="AM202" s="217"/>
      <c r="AN202" s="217"/>
      <c r="AO202" s="289"/>
      <c r="AP202" s="289"/>
      <c r="AQ202" s="289"/>
      <c r="AR202" s="289"/>
      <c r="AS202" s="289"/>
      <c r="AT202" s="289"/>
    </row>
    <row r="203" spans="38:46" x14ac:dyDescent="0.25">
      <c r="AL203" s="217"/>
      <c r="AM203" s="217"/>
      <c r="AN203" s="217"/>
      <c r="AO203" s="289"/>
      <c r="AP203" s="289"/>
      <c r="AQ203" s="289"/>
      <c r="AR203" s="289"/>
      <c r="AS203" s="289"/>
      <c r="AT203" s="289"/>
    </row>
    <row r="204" spans="38:46" x14ac:dyDescent="0.25">
      <c r="AL204" s="217"/>
      <c r="AM204" s="217"/>
      <c r="AN204" s="217"/>
      <c r="AO204" s="289"/>
      <c r="AP204" s="289"/>
      <c r="AQ204" s="289"/>
      <c r="AR204" s="289"/>
      <c r="AS204" s="289"/>
      <c r="AT204" s="289"/>
    </row>
    <row r="205" spans="38:46" x14ac:dyDescent="0.25">
      <c r="AL205" s="217"/>
      <c r="AM205" s="217"/>
      <c r="AN205" s="217"/>
      <c r="AO205" s="289"/>
      <c r="AP205" s="289"/>
      <c r="AQ205" s="289"/>
      <c r="AR205" s="289"/>
      <c r="AS205" s="289"/>
      <c r="AT205" s="289"/>
    </row>
    <row r="206" spans="38:46" x14ac:dyDescent="0.25">
      <c r="AL206" s="217"/>
      <c r="AM206" s="217"/>
      <c r="AN206" s="217"/>
      <c r="AO206" s="289"/>
      <c r="AP206" s="289"/>
      <c r="AQ206" s="289"/>
      <c r="AR206" s="289"/>
      <c r="AS206" s="289"/>
      <c r="AT206" s="289"/>
    </row>
    <row r="207" spans="38:46" x14ac:dyDescent="0.25">
      <c r="AL207" s="217"/>
      <c r="AM207" s="217"/>
      <c r="AN207" s="217"/>
      <c r="AO207" s="289"/>
      <c r="AP207" s="289"/>
      <c r="AQ207" s="289"/>
      <c r="AR207" s="289"/>
      <c r="AS207" s="289"/>
      <c r="AT207" s="289"/>
    </row>
    <row r="208" spans="38:46" x14ac:dyDescent="0.25">
      <c r="AL208" s="217"/>
      <c r="AM208" s="217"/>
      <c r="AN208" s="217"/>
      <c r="AO208" s="289"/>
      <c r="AP208" s="289"/>
      <c r="AQ208" s="289"/>
      <c r="AR208" s="289"/>
      <c r="AS208" s="289"/>
      <c r="AT208" s="289"/>
    </row>
    <row r="209" spans="38:46" x14ac:dyDescent="0.25">
      <c r="AL209" s="217"/>
      <c r="AM209" s="217"/>
      <c r="AN209" s="217"/>
      <c r="AO209" s="289"/>
      <c r="AP209" s="289"/>
      <c r="AQ209" s="289"/>
      <c r="AR209" s="289"/>
      <c r="AS209" s="289"/>
      <c r="AT209" s="289"/>
    </row>
    <row r="210" spans="38:46" x14ac:dyDescent="0.25">
      <c r="AL210" s="217"/>
      <c r="AM210" s="217"/>
      <c r="AN210" s="217"/>
      <c r="AO210" s="289"/>
      <c r="AP210" s="289"/>
      <c r="AQ210" s="289"/>
      <c r="AR210" s="289"/>
      <c r="AS210" s="289"/>
      <c r="AT210" s="289"/>
    </row>
    <row r="211" spans="38:46" x14ac:dyDescent="0.25">
      <c r="AL211" s="217"/>
      <c r="AM211" s="217"/>
      <c r="AN211" s="217"/>
      <c r="AO211" s="289"/>
      <c r="AP211" s="289"/>
      <c r="AQ211" s="289"/>
      <c r="AR211" s="289"/>
      <c r="AS211" s="289"/>
      <c r="AT211" s="289"/>
    </row>
    <row r="212" spans="38:46" x14ac:dyDescent="0.25">
      <c r="AL212" s="217"/>
      <c r="AM212" s="217"/>
      <c r="AN212" s="217"/>
      <c r="AO212" s="289"/>
      <c r="AP212" s="289"/>
      <c r="AQ212" s="289"/>
      <c r="AR212" s="289"/>
      <c r="AS212" s="289"/>
      <c r="AT212" s="289"/>
    </row>
    <row r="213" spans="38:46" x14ac:dyDescent="0.25">
      <c r="AL213" s="217"/>
      <c r="AM213" s="217"/>
      <c r="AN213" s="217"/>
      <c r="AO213" s="289"/>
      <c r="AP213" s="289"/>
      <c r="AQ213" s="289"/>
      <c r="AR213" s="289"/>
      <c r="AS213" s="289"/>
      <c r="AT213" s="289"/>
    </row>
    <row r="214" spans="38:46" x14ac:dyDescent="0.25">
      <c r="AL214" s="217"/>
      <c r="AM214" s="217"/>
      <c r="AN214" s="217"/>
      <c r="AO214" s="217"/>
      <c r="AP214" s="217"/>
      <c r="AQ214" s="217"/>
      <c r="AR214" s="217"/>
      <c r="AS214" s="217"/>
      <c r="AT214" s="217"/>
    </row>
    <row r="215" spans="38:46" x14ac:dyDescent="0.25">
      <c r="AL215" s="333"/>
      <c r="AM215" s="217"/>
      <c r="AN215" s="217"/>
      <c r="AO215" s="217"/>
      <c r="AP215" s="217"/>
      <c r="AQ215" s="217"/>
      <c r="AR215" s="217"/>
      <c r="AS215" s="217"/>
      <c r="AT215" s="217"/>
    </row>
    <row r="216" spans="38:46" x14ac:dyDescent="0.25">
      <c r="AL216" s="217"/>
      <c r="AM216" s="217"/>
      <c r="AN216" s="217"/>
      <c r="AO216" s="217"/>
      <c r="AP216" s="217"/>
      <c r="AQ216" s="217"/>
      <c r="AR216" s="217"/>
      <c r="AS216" s="217"/>
      <c r="AT216" s="217"/>
    </row>
    <row r="217" spans="38:46" x14ac:dyDescent="0.25">
      <c r="AL217" s="217"/>
      <c r="AM217" s="217"/>
      <c r="AN217" s="217"/>
      <c r="AO217" s="289"/>
      <c r="AP217" s="289"/>
      <c r="AQ217" s="289"/>
      <c r="AR217" s="289"/>
      <c r="AS217" s="289"/>
      <c r="AT217" s="289"/>
    </row>
    <row r="218" spans="38:46" x14ac:dyDescent="0.25">
      <c r="AL218" s="217"/>
      <c r="AM218" s="217"/>
      <c r="AN218" s="217"/>
      <c r="AO218" s="289"/>
      <c r="AP218" s="289"/>
      <c r="AQ218" s="289"/>
      <c r="AR218" s="289"/>
      <c r="AS218" s="289"/>
      <c r="AT218" s="289"/>
    </row>
    <row r="219" spans="38:46" x14ac:dyDescent="0.25">
      <c r="AL219" s="217"/>
      <c r="AM219" s="217"/>
      <c r="AN219" s="217"/>
      <c r="AO219" s="289"/>
      <c r="AP219" s="289"/>
      <c r="AQ219" s="289"/>
      <c r="AR219" s="289"/>
      <c r="AS219" s="289"/>
      <c r="AT219" s="289"/>
    </row>
    <row r="220" spans="38:46" x14ac:dyDescent="0.25">
      <c r="AL220" s="217"/>
      <c r="AM220" s="217"/>
      <c r="AN220" s="217"/>
      <c r="AO220" s="289"/>
      <c r="AP220" s="289"/>
      <c r="AQ220" s="289"/>
      <c r="AR220" s="289"/>
      <c r="AS220" s="289"/>
      <c r="AT220" s="289"/>
    </row>
    <row r="221" spans="38:46" x14ac:dyDescent="0.25">
      <c r="AL221" s="217"/>
      <c r="AM221" s="217"/>
      <c r="AN221" s="217"/>
      <c r="AO221" s="289"/>
      <c r="AP221" s="289"/>
      <c r="AQ221" s="289"/>
      <c r="AR221" s="289"/>
      <c r="AS221" s="289"/>
      <c r="AT221" s="289"/>
    </row>
    <row r="222" spans="38:46" x14ac:dyDescent="0.25">
      <c r="AL222" s="217"/>
      <c r="AM222" s="217"/>
      <c r="AN222" s="217"/>
      <c r="AO222" s="289"/>
      <c r="AP222" s="289"/>
      <c r="AQ222" s="289"/>
      <c r="AR222" s="289"/>
      <c r="AS222" s="289"/>
      <c r="AT222" s="289"/>
    </row>
    <row r="223" spans="38:46" x14ac:dyDescent="0.25">
      <c r="AL223" s="217"/>
      <c r="AM223" s="217"/>
      <c r="AN223" s="217"/>
      <c r="AO223" s="289"/>
      <c r="AP223" s="289"/>
      <c r="AQ223" s="289"/>
      <c r="AR223" s="289"/>
      <c r="AS223" s="289"/>
      <c r="AT223" s="289"/>
    </row>
    <row r="224" spans="38:46" x14ac:dyDescent="0.25">
      <c r="AL224" s="217"/>
      <c r="AM224" s="217"/>
      <c r="AN224" s="217"/>
      <c r="AO224" s="289"/>
      <c r="AP224" s="289"/>
      <c r="AQ224" s="289"/>
      <c r="AR224" s="289"/>
      <c r="AS224" s="289"/>
      <c r="AT224" s="289"/>
    </row>
    <row r="225" spans="38:46" x14ac:dyDescent="0.25">
      <c r="AL225" s="217"/>
      <c r="AM225" s="217"/>
      <c r="AN225" s="217"/>
      <c r="AO225" s="289"/>
      <c r="AP225" s="289"/>
      <c r="AQ225" s="289"/>
      <c r="AR225" s="289"/>
      <c r="AS225" s="289"/>
      <c r="AT225" s="289"/>
    </row>
    <row r="226" spans="38:46" x14ac:dyDescent="0.25">
      <c r="AL226" s="217"/>
      <c r="AM226" s="217"/>
      <c r="AN226" s="217"/>
      <c r="AO226" s="289"/>
      <c r="AP226" s="289"/>
      <c r="AQ226" s="289"/>
      <c r="AR226" s="289"/>
      <c r="AS226" s="289"/>
      <c r="AT226" s="289"/>
    </row>
    <row r="227" spans="38:46" x14ac:dyDescent="0.25">
      <c r="AL227" s="217"/>
      <c r="AM227" s="217"/>
      <c r="AN227" s="217"/>
      <c r="AO227" s="289"/>
      <c r="AP227" s="289"/>
      <c r="AQ227" s="289"/>
      <c r="AR227" s="289"/>
      <c r="AS227" s="289"/>
      <c r="AT227" s="289"/>
    </row>
    <row r="228" spans="38:46" x14ac:dyDescent="0.25">
      <c r="AL228" s="217"/>
      <c r="AM228" s="217"/>
      <c r="AN228" s="217"/>
      <c r="AO228" s="289"/>
      <c r="AP228" s="289"/>
      <c r="AQ228" s="289"/>
      <c r="AR228" s="289"/>
      <c r="AS228" s="289"/>
      <c r="AT228" s="289"/>
    </row>
    <row r="229" spans="38:46" x14ac:dyDescent="0.25">
      <c r="AL229" s="217"/>
      <c r="AM229" s="217"/>
      <c r="AN229" s="217"/>
      <c r="AO229" s="289"/>
      <c r="AP229" s="289"/>
      <c r="AQ229" s="289"/>
      <c r="AR229" s="289"/>
      <c r="AS229" s="289"/>
      <c r="AT229" s="289"/>
    </row>
    <row r="230" spans="38:46" x14ac:dyDescent="0.25">
      <c r="AL230" s="217"/>
      <c r="AM230" s="217"/>
      <c r="AN230" s="217"/>
      <c r="AO230" s="289"/>
      <c r="AP230" s="289"/>
      <c r="AQ230" s="289"/>
      <c r="AR230" s="289"/>
      <c r="AS230" s="289"/>
      <c r="AT230" s="289"/>
    </row>
    <row r="231" spans="38:46" x14ac:dyDescent="0.25">
      <c r="AL231" s="217"/>
      <c r="AM231" s="217"/>
      <c r="AN231" s="217"/>
      <c r="AO231" s="289"/>
      <c r="AP231" s="289"/>
      <c r="AQ231" s="289"/>
      <c r="AR231" s="289"/>
      <c r="AS231" s="289"/>
      <c r="AT231" s="289"/>
    </row>
    <row r="232" spans="38:46" x14ac:dyDescent="0.25">
      <c r="AL232" s="217"/>
      <c r="AM232" s="217"/>
      <c r="AN232" s="217"/>
      <c r="AO232" s="289"/>
      <c r="AP232" s="289"/>
      <c r="AQ232" s="289"/>
      <c r="AR232" s="289"/>
      <c r="AS232" s="289"/>
      <c r="AT232" s="289"/>
    </row>
    <row r="233" spans="38:46" x14ac:dyDescent="0.25">
      <c r="AL233" s="217"/>
      <c r="AM233" s="217"/>
      <c r="AN233" s="217"/>
      <c r="AO233" s="289"/>
      <c r="AP233" s="289"/>
      <c r="AQ233" s="289"/>
      <c r="AR233" s="289"/>
      <c r="AS233" s="289"/>
      <c r="AT233" s="289"/>
    </row>
    <row r="234" spans="38:46" x14ac:dyDescent="0.25">
      <c r="AL234" s="217"/>
      <c r="AM234" s="217"/>
      <c r="AN234" s="217"/>
      <c r="AO234" s="289"/>
      <c r="AP234" s="289"/>
      <c r="AQ234" s="289"/>
      <c r="AR234" s="289"/>
      <c r="AS234" s="289"/>
      <c r="AT234" s="289"/>
    </row>
    <row r="235" spans="38:46" x14ac:dyDescent="0.25">
      <c r="AL235" s="217"/>
      <c r="AM235" s="217"/>
      <c r="AN235" s="217"/>
      <c r="AO235" s="289"/>
      <c r="AP235" s="289"/>
      <c r="AQ235" s="289"/>
      <c r="AR235" s="289"/>
      <c r="AS235" s="289"/>
      <c r="AT235" s="289"/>
    </row>
    <row r="236" spans="38:46" x14ac:dyDescent="0.25">
      <c r="AL236" s="217"/>
      <c r="AM236" s="217"/>
      <c r="AN236" s="217"/>
      <c r="AO236" s="289"/>
      <c r="AP236" s="289"/>
      <c r="AQ236" s="289"/>
      <c r="AR236" s="289"/>
      <c r="AS236" s="289"/>
      <c r="AT236" s="289"/>
    </row>
    <row r="237" spans="38:46" x14ac:dyDescent="0.25">
      <c r="AL237" s="217"/>
      <c r="AM237" s="217"/>
      <c r="AN237" s="217"/>
      <c r="AO237" s="289"/>
      <c r="AP237" s="289"/>
      <c r="AQ237" s="289"/>
      <c r="AR237" s="289"/>
      <c r="AS237" s="289"/>
      <c r="AT237" s="289"/>
    </row>
    <row r="238" spans="38:46" x14ac:dyDescent="0.25">
      <c r="AL238" s="217"/>
      <c r="AM238" s="217"/>
      <c r="AN238" s="217"/>
      <c r="AO238" s="289"/>
      <c r="AP238" s="289"/>
      <c r="AQ238" s="289"/>
      <c r="AR238" s="289"/>
      <c r="AS238" s="289"/>
      <c r="AT238" s="289"/>
    </row>
    <row r="239" spans="38:46" x14ac:dyDescent="0.25">
      <c r="AL239" s="217"/>
      <c r="AM239" s="217"/>
      <c r="AN239" s="217"/>
      <c r="AO239" s="289"/>
      <c r="AP239" s="289"/>
      <c r="AQ239" s="289"/>
      <c r="AR239" s="289"/>
      <c r="AS239" s="289"/>
      <c r="AT239" s="289"/>
    </row>
    <row r="240" spans="38:46" x14ac:dyDescent="0.25">
      <c r="AL240" s="217"/>
      <c r="AM240" s="217"/>
      <c r="AN240" s="217"/>
      <c r="AO240" s="289"/>
      <c r="AP240" s="289"/>
      <c r="AQ240" s="289"/>
      <c r="AR240" s="289"/>
      <c r="AS240" s="289"/>
      <c r="AT240" s="289"/>
    </row>
    <row r="241" spans="38:46" x14ac:dyDescent="0.25">
      <c r="AL241" s="217"/>
      <c r="AM241" s="217"/>
      <c r="AN241" s="217"/>
      <c r="AO241" s="289"/>
      <c r="AP241" s="289"/>
      <c r="AQ241" s="289"/>
      <c r="AR241" s="289"/>
      <c r="AS241" s="289"/>
      <c r="AT241" s="289"/>
    </row>
    <row r="242" spans="38:46" x14ac:dyDescent="0.25">
      <c r="AL242" s="217"/>
      <c r="AM242" s="217"/>
      <c r="AN242" s="217"/>
      <c r="AO242" s="289"/>
      <c r="AP242" s="289"/>
      <c r="AQ242" s="289"/>
      <c r="AR242" s="289"/>
      <c r="AS242" s="289"/>
      <c r="AT242" s="289"/>
    </row>
    <row r="243" spans="38:46" x14ac:dyDescent="0.25">
      <c r="AL243" s="217"/>
      <c r="AM243" s="217"/>
      <c r="AN243" s="217"/>
      <c r="AO243" s="289"/>
      <c r="AP243" s="289"/>
      <c r="AQ243" s="289"/>
      <c r="AR243" s="289"/>
      <c r="AS243" s="289"/>
      <c r="AT243" s="289"/>
    </row>
    <row r="244" spans="38:46" x14ac:dyDescent="0.25">
      <c r="AL244" s="217"/>
      <c r="AM244" s="217"/>
      <c r="AN244" s="217"/>
      <c r="AO244" s="289"/>
      <c r="AP244" s="289"/>
      <c r="AQ244" s="289"/>
      <c r="AR244" s="289"/>
      <c r="AS244" s="289"/>
      <c r="AT244" s="289"/>
    </row>
    <row r="245" spans="38:46" x14ac:dyDescent="0.25">
      <c r="AL245" s="217"/>
      <c r="AM245" s="217"/>
      <c r="AN245" s="217"/>
      <c r="AO245" s="289"/>
      <c r="AP245" s="289"/>
      <c r="AQ245" s="289"/>
      <c r="AR245" s="289"/>
      <c r="AS245" s="289"/>
      <c r="AT245" s="289"/>
    </row>
    <row r="246" spans="38:46" x14ac:dyDescent="0.25">
      <c r="AL246" s="217"/>
      <c r="AM246" s="217"/>
      <c r="AN246" s="217"/>
      <c r="AO246" s="289"/>
      <c r="AP246" s="289"/>
      <c r="AQ246" s="289"/>
      <c r="AR246" s="289"/>
      <c r="AS246" s="289"/>
      <c r="AT246" s="289"/>
    </row>
    <row r="247" spans="38:46" x14ac:dyDescent="0.25">
      <c r="AL247" s="217"/>
      <c r="AM247" s="217"/>
      <c r="AN247" s="217"/>
      <c r="AO247" s="289"/>
      <c r="AP247" s="289"/>
      <c r="AQ247" s="289"/>
      <c r="AR247" s="289"/>
      <c r="AS247" s="289"/>
      <c r="AT247" s="289"/>
    </row>
    <row r="248" spans="38:46" x14ac:dyDescent="0.25">
      <c r="AL248" s="217"/>
      <c r="AM248" s="217"/>
      <c r="AN248" s="217"/>
      <c r="AO248" s="289"/>
      <c r="AP248" s="289"/>
      <c r="AQ248" s="289"/>
      <c r="AR248" s="289"/>
      <c r="AS248" s="289"/>
      <c r="AT248" s="289"/>
    </row>
    <row r="249" spans="38:46" x14ac:dyDescent="0.25">
      <c r="AL249" s="217"/>
      <c r="AM249" s="217"/>
      <c r="AN249" s="217"/>
      <c r="AO249" s="289"/>
      <c r="AP249" s="289"/>
      <c r="AQ249" s="289"/>
      <c r="AR249" s="289"/>
      <c r="AS249" s="289"/>
      <c r="AT249" s="289"/>
    </row>
    <row r="250" spans="38:46" x14ac:dyDescent="0.25">
      <c r="AL250" s="217"/>
      <c r="AM250" s="217"/>
      <c r="AN250" s="217"/>
      <c r="AO250" s="289"/>
      <c r="AP250" s="289"/>
      <c r="AQ250" s="289"/>
      <c r="AR250" s="289"/>
      <c r="AS250" s="289"/>
      <c r="AT250" s="289"/>
    </row>
    <row r="251" spans="38:46" x14ac:dyDescent="0.25">
      <c r="AL251" s="217"/>
      <c r="AM251" s="217"/>
      <c r="AN251" s="217"/>
      <c r="AO251" s="289"/>
      <c r="AP251" s="289"/>
      <c r="AQ251" s="289"/>
      <c r="AR251" s="289"/>
      <c r="AS251" s="289"/>
      <c r="AT251" s="289"/>
    </row>
    <row r="252" spans="38:46" x14ac:dyDescent="0.25">
      <c r="AL252" s="217"/>
      <c r="AM252" s="217"/>
      <c r="AN252" s="217"/>
      <c r="AO252" s="289"/>
      <c r="AP252" s="289"/>
      <c r="AQ252" s="289"/>
      <c r="AR252" s="289"/>
      <c r="AS252" s="289"/>
      <c r="AT252" s="289"/>
    </row>
    <row r="253" spans="38:46" x14ac:dyDescent="0.25">
      <c r="AL253" s="217"/>
      <c r="AM253" s="217"/>
      <c r="AN253" s="217"/>
      <c r="AO253" s="289"/>
      <c r="AP253" s="289"/>
      <c r="AQ253" s="289"/>
      <c r="AR253" s="289"/>
      <c r="AS253" s="289"/>
      <c r="AT253" s="289"/>
    </row>
    <row r="254" spans="38:46" x14ac:dyDescent="0.25">
      <c r="AL254" s="217"/>
      <c r="AM254" s="217"/>
      <c r="AN254" s="217"/>
      <c r="AO254" s="289"/>
      <c r="AP254" s="289"/>
      <c r="AQ254" s="289"/>
      <c r="AR254" s="289"/>
      <c r="AS254" s="289"/>
      <c r="AT254" s="289"/>
    </row>
    <row r="255" spans="38:46" x14ac:dyDescent="0.25">
      <c r="AL255" s="217"/>
      <c r="AM255" s="217"/>
      <c r="AN255" s="217"/>
      <c r="AO255" s="289"/>
      <c r="AP255" s="289"/>
      <c r="AQ255" s="289"/>
      <c r="AR255" s="289"/>
      <c r="AS255" s="289"/>
      <c r="AT255" s="289"/>
    </row>
    <row r="256" spans="38:46" x14ac:dyDescent="0.25">
      <c r="AL256" s="217"/>
      <c r="AM256" s="217"/>
      <c r="AN256" s="217"/>
      <c r="AO256" s="289"/>
      <c r="AP256" s="289"/>
      <c r="AQ256" s="289"/>
      <c r="AR256" s="289"/>
      <c r="AS256" s="289"/>
      <c r="AT256" s="289"/>
    </row>
    <row r="257" spans="38:46" x14ac:dyDescent="0.25">
      <c r="AL257" s="217"/>
      <c r="AM257" s="217"/>
      <c r="AN257" s="217"/>
      <c r="AO257" s="289"/>
      <c r="AP257" s="289"/>
      <c r="AQ257" s="289"/>
      <c r="AR257" s="289"/>
      <c r="AS257" s="289"/>
      <c r="AT257" s="289"/>
    </row>
    <row r="258" spans="38:46" x14ac:dyDescent="0.25">
      <c r="AL258" s="217"/>
      <c r="AM258" s="217"/>
      <c r="AN258" s="217"/>
      <c r="AO258" s="289"/>
      <c r="AP258" s="289"/>
      <c r="AQ258" s="289"/>
      <c r="AR258" s="289"/>
      <c r="AS258" s="289"/>
      <c r="AT258" s="289"/>
    </row>
    <row r="259" spans="38:46" x14ac:dyDescent="0.25">
      <c r="AL259" s="217"/>
      <c r="AM259" s="217"/>
      <c r="AN259" s="217"/>
      <c r="AO259" s="289"/>
      <c r="AP259" s="289"/>
      <c r="AQ259" s="289"/>
      <c r="AR259" s="289"/>
      <c r="AS259" s="289"/>
      <c r="AT259" s="289"/>
    </row>
    <row r="260" spans="38:46" x14ac:dyDescent="0.25">
      <c r="AL260" s="217"/>
      <c r="AM260" s="217"/>
      <c r="AN260" s="217"/>
      <c r="AO260" s="289"/>
      <c r="AP260" s="289"/>
      <c r="AQ260" s="289"/>
      <c r="AR260" s="289"/>
      <c r="AS260" s="289"/>
      <c r="AT260" s="289"/>
    </row>
    <row r="261" spans="38:46" x14ac:dyDescent="0.25">
      <c r="AL261" s="217"/>
      <c r="AM261" s="217"/>
      <c r="AN261" s="217"/>
      <c r="AO261" s="289"/>
      <c r="AP261" s="289"/>
      <c r="AQ261" s="289"/>
      <c r="AR261" s="289"/>
      <c r="AS261" s="289"/>
      <c r="AT261" s="289"/>
    </row>
    <row r="262" spans="38:46" x14ac:dyDescent="0.25">
      <c r="AL262" s="217"/>
      <c r="AM262" s="217"/>
      <c r="AN262" s="217"/>
      <c r="AO262" s="289"/>
      <c r="AP262" s="289"/>
      <c r="AQ262" s="289"/>
      <c r="AR262" s="289"/>
      <c r="AS262" s="289"/>
      <c r="AT262" s="289"/>
    </row>
    <row r="263" spans="38:46" x14ac:dyDescent="0.25">
      <c r="AL263" s="217"/>
      <c r="AM263" s="217"/>
      <c r="AN263" s="217"/>
      <c r="AO263" s="289"/>
      <c r="AP263" s="289"/>
      <c r="AQ263" s="289"/>
      <c r="AR263" s="289"/>
      <c r="AS263" s="289"/>
      <c r="AT263" s="289"/>
    </row>
    <row r="264" spans="38:46" x14ac:dyDescent="0.25">
      <c r="AL264" s="217"/>
      <c r="AM264" s="217"/>
      <c r="AN264" s="217"/>
      <c r="AO264" s="289"/>
      <c r="AP264" s="289"/>
      <c r="AQ264" s="289"/>
      <c r="AR264" s="289"/>
      <c r="AS264" s="289"/>
      <c r="AT264" s="289"/>
    </row>
    <row r="265" spans="38:46" x14ac:dyDescent="0.25">
      <c r="AL265" s="217"/>
      <c r="AM265" s="217"/>
      <c r="AN265" s="217"/>
      <c r="AO265" s="289"/>
      <c r="AP265" s="289"/>
      <c r="AQ265" s="289"/>
      <c r="AR265" s="289"/>
      <c r="AS265" s="289"/>
      <c r="AT265" s="289"/>
    </row>
    <row r="266" spans="38:46" x14ac:dyDescent="0.25">
      <c r="AL266" s="217"/>
      <c r="AM266" s="217"/>
      <c r="AN266" s="217"/>
      <c r="AO266" s="289"/>
      <c r="AP266" s="289"/>
      <c r="AQ266" s="289"/>
      <c r="AR266" s="289"/>
      <c r="AS266" s="289"/>
      <c r="AT266" s="289"/>
    </row>
    <row r="267" spans="38:46" x14ac:dyDescent="0.25">
      <c r="AL267" s="217"/>
      <c r="AM267" s="217"/>
      <c r="AN267" s="217"/>
      <c r="AO267" s="289"/>
      <c r="AP267" s="289"/>
      <c r="AQ267" s="289"/>
      <c r="AR267" s="289"/>
      <c r="AS267" s="289"/>
      <c r="AT267" s="289"/>
    </row>
    <row r="268" spans="38:46" x14ac:dyDescent="0.25">
      <c r="AL268" s="217"/>
      <c r="AM268" s="217"/>
      <c r="AN268" s="217"/>
      <c r="AO268" s="289"/>
      <c r="AP268" s="289"/>
      <c r="AQ268" s="289"/>
      <c r="AR268" s="289"/>
      <c r="AS268" s="289"/>
      <c r="AT268" s="289"/>
    </row>
    <row r="269" spans="38:46" x14ac:dyDescent="0.25">
      <c r="AL269" s="217"/>
      <c r="AM269" s="217"/>
      <c r="AN269" s="217"/>
      <c r="AO269" s="289"/>
      <c r="AP269" s="289"/>
      <c r="AQ269" s="289"/>
      <c r="AR269" s="289"/>
      <c r="AS269" s="289"/>
      <c r="AT269" s="289"/>
    </row>
    <row r="270" spans="38:46" x14ac:dyDescent="0.25">
      <c r="AL270" s="217"/>
      <c r="AM270" s="217"/>
      <c r="AN270" s="217"/>
      <c r="AO270" s="217"/>
      <c r="AP270" s="217"/>
      <c r="AQ270" s="217"/>
      <c r="AR270" s="217"/>
      <c r="AS270" s="217"/>
      <c r="AT270" s="217"/>
    </row>
    <row r="271" spans="38:46" x14ac:dyDescent="0.25">
      <c r="AL271" s="217"/>
      <c r="AM271" s="217"/>
      <c r="AN271" s="217"/>
      <c r="AO271" s="217"/>
      <c r="AP271" s="217"/>
      <c r="AQ271" s="217"/>
      <c r="AR271" s="217"/>
      <c r="AS271" s="217"/>
      <c r="AT271" s="217"/>
    </row>
  </sheetData>
  <mergeCells count="3">
    <mergeCell ref="G3:I3"/>
    <mergeCell ref="K3:P3"/>
    <mergeCell ref="R3:X3"/>
  </mergeCells>
  <pageMargins left="0.25" right="0.25" top="0.75" bottom="0.75" header="0.3" footer="0.3"/>
  <pageSetup paperSize="9" scale="65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167"/>
  <sheetViews>
    <sheetView zoomScale="70" zoomScaleNormal="70" workbookViewId="0">
      <pane xSplit="3" ySplit="4" topLeftCell="D5" activePane="bottomRight" state="frozen"/>
      <selection activeCell="L125" sqref="L125"/>
      <selection pane="topRight" activeCell="L125" sqref="L125"/>
      <selection pane="bottomLeft" activeCell="L125" sqref="L125"/>
      <selection pane="bottomRight" activeCell="C5" sqref="C5"/>
    </sheetView>
  </sheetViews>
  <sheetFormatPr defaultRowHeight="15" outlineLevelRow="1" outlineLevelCol="1" x14ac:dyDescent="0.25"/>
  <cols>
    <col min="1" max="1" width="2.28515625" customWidth="1"/>
    <col min="2" max="2" width="3" customWidth="1"/>
    <col min="3" max="3" width="54.28515625" customWidth="1"/>
    <col min="4" max="4" width="20" customWidth="1" outlineLevel="1"/>
    <col min="5" max="6" width="15.28515625" customWidth="1" outlineLevel="1"/>
    <col min="7" max="7" width="9.28515625" customWidth="1"/>
    <col min="8" max="8" width="8.7109375" customWidth="1"/>
    <col min="9" max="9" width="10.7109375" customWidth="1"/>
    <col min="10" max="10" width="2.28515625" customWidth="1"/>
    <col min="11" max="11" width="9.7109375" bestFit="1" customWidth="1"/>
    <col min="12" max="12" width="9.5703125" bestFit="1" customWidth="1"/>
    <col min="13" max="13" width="9.42578125" style="106" customWidth="1"/>
    <col min="14" max="14" width="12.28515625" style="106" customWidth="1"/>
    <col min="15" max="15" width="10.42578125" style="106" customWidth="1"/>
    <col min="16" max="16" width="12.140625" style="106" customWidth="1"/>
    <col min="17" max="17" width="9.7109375" style="106" customWidth="1"/>
    <col min="18" max="18" width="9" style="106" customWidth="1"/>
    <col min="19" max="19" width="9.7109375" style="106" customWidth="1"/>
    <col min="20" max="22" width="9" style="106" customWidth="1"/>
    <col min="23" max="23" width="8.85546875" style="106" customWidth="1"/>
    <col min="24" max="24" width="8.85546875" customWidth="1"/>
    <col min="25" max="25" width="9.85546875" customWidth="1"/>
    <col min="26" max="35" width="8.85546875" hidden="1" customWidth="1" outlineLevel="1"/>
    <col min="36" max="36" width="8.85546875" customWidth="1" collapsed="1"/>
    <col min="37" max="37" width="8.85546875" style="217"/>
    <col min="38" max="38" width="41.42578125" style="217" customWidth="1"/>
    <col min="39" max="40" width="8.85546875" style="217"/>
    <col min="41" max="41" width="10.5703125" style="217" customWidth="1"/>
    <col min="42" max="42" width="11.7109375" style="217" bestFit="1" customWidth="1"/>
    <col min="43" max="43" width="8.85546875" style="217" customWidth="1"/>
    <col min="44" max="44" width="10.7109375" style="217" bestFit="1" customWidth="1"/>
    <col min="45" max="46" width="13.28515625" style="217" bestFit="1" customWidth="1"/>
  </cols>
  <sheetData>
    <row r="1" spans="2:33" x14ac:dyDescent="0.25">
      <c r="N1" s="52"/>
      <c r="O1"/>
    </row>
    <row r="2" spans="2:33" x14ac:dyDescent="0.25">
      <c r="B2" s="22" t="str">
        <f>STN_2&amp;" Volumes &amp; Unit Rates"</f>
        <v>&lt;spare&gt; Volumes &amp; Unit Rates</v>
      </c>
    </row>
    <row r="3" spans="2:33" x14ac:dyDescent="0.25">
      <c r="B3" s="21" t="str">
        <f>STN_2</f>
        <v>&lt;spare&gt;</v>
      </c>
      <c r="G3" s="380" t="s">
        <v>19</v>
      </c>
      <c r="H3" s="381"/>
      <c r="I3" s="382"/>
      <c r="K3" s="380" t="s">
        <v>262</v>
      </c>
      <c r="L3" s="381"/>
      <c r="M3" s="381"/>
      <c r="N3" s="381"/>
      <c r="O3" s="381"/>
      <c r="P3" s="382"/>
      <c r="R3" s="380" t="s">
        <v>263</v>
      </c>
      <c r="S3" s="381"/>
      <c r="T3" s="381"/>
      <c r="U3" s="381"/>
      <c r="V3" s="381"/>
      <c r="W3" s="381"/>
      <c r="X3" s="382"/>
    </row>
    <row r="4" spans="2:33" ht="45" customHeight="1" x14ac:dyDescent="0.25">
      <c r="C4" s="259"/>
      <c r="D4" t="s">
        <v>5</v>
      </c>
      <c r="E4" t="s">
        <v>18</v>
      </c>
      <c r="G4" s="107" t="s">
        <v>264</v>
      </c>
      <c r="H4" s="108" t="s">
        <v>265</v>
      </c>
      <c r="I4" s="109" t="s">
        <v>266</v>
      </c>
      <c r="K4" s="109" t="s">
        <v>19</v>
      </c>
      <c r="L4" s="109" t="s">
        <v>20</v>
      </c>
      <c r="M4" s="107" t="s">
        <v>21</v>
      </c>
      <c r="N4" s="107" t="s">
        <v>22</v>
      </c>
      <c r="O4" s="110" t="s">
        <v>23</v>
      </c>
      <c r="P4" s="110" t="s">
        <v>24</v>
      </c>
      <c r="Q4" s="111" t="s">
        <v>267</v>
      </c>
      <c r="R4" s="112" t="s">
        <v>268</v>
      </c>
      <c r="S4" s="112" t="s">
        <v>76</v>
      </c>
      <c r="T4" s="112" t="s">
        <v>77</v>
      </c>
      <c r="U4" s="112" t="s">
        <v>78</v>
      </c>
      <c r="V4" s="112" t="s">
        <v>269</v>
      </c>
      <c r="W4" s="112" t="s">
        <v>79</v>
      </c>
      <c r="X4" s="113" t="s">
        <v>270</v>
      </c>
      <c r="Y4" s="113" t="s">
        <v>271</v>
      </c>
    </row>
    <row r="5" spans="2:33" x14ac:dyDescent="0.25">
      <c r="B5" s="114" t="s">
        <v>272</v>
      </c>
      <c r="C5" s="260"/>
      <c r="D5" s="115"/>
      <c r="E5" s="115"/>
      <c r="F5" s="115"/>
      <c r="G5" s="116"/>
      <c r="H5" s="108"/>
      <c r="I5" s="109"/>
      <c r="J5" s="115"/>
      <c r="K5" s="109"/>
      <c r="L5" s="109"/>
      <c r="M5" s="110"/>
      <c r="N5" s="107"/>
      <c r="O5" s="110"/>
      <c r="P5" s="110"/>
      <c r="R5" s="287">
        <f>Lab_Rates!$C$6*Escalators!C7*(1+Escalators!C17)*Escalators!$G$32</f>
        <v>162.48739067582716</v>
      </c>
      <c r="S5" s="287">
        <f>Lab_Rates!$C$7*Escalators!C7*(1+Escalators!C17)*Escalators!$G$32</f>
        <v>151.79743076294375</v>
      </c>
      <c r="T5" s="287">
        <f>Lab_Rates!$C$8*Escalators!C7*(1+Escalators!C17)*Escalators!$G$32</f>
        <v>176.38433856257552</v>
      </c>
      <c r="U5" s="287">
        <f>Lab_Rates!$C$9*Escalators!C7*(1+Escalators!C17)*Escalators!$G$32</f>
        <v>229.83413812699234</v>
      </c>
      <c r="V5" s="287">
        <f>Lab_Rates!$C$6*Escalators!C7*(1+Escalators!C17)*Escalators!$G$32</f>
        <v>162.48739067582716</v>
      </c>
      <c r="W5" s="287">
        <f>Lab_Rates!$C$10*Escalators!C7*(1+Escalators!C17)*Escalators!$G$32</f>
        <v>162.48739067582716</v>
      </c>
      <c r="X5" s="287">
        <f>Lab_Rates!$C$5*Escalators!C7*(1+Escalators!C17)*Escalators!$G$32</f>
        <v>133.62449891104205</v>
      </c>
    </row>
    <row r="6" spans="2:33" x14ac:dyDescent="0.25">
      <c r="B6" s="117"/>
      <c r="C6" s="21"/>
      <c r="G6" s="118"/>
      <c r="H6" s="119"/>
      <c r="I6" s="120"/>
      <c r="K6" s="118"/>
      <c r="L6" s="118"/>
      <c r="M6" s="121"/>
      <c r="N6" s="122"/>
      <c r="O6" s="121"/>
      <c r="P6" s="123"/>
      <c r="R6" s="124"/>
      <c r="S6" s="124"/>
      <c r="T6" s="124"/>
      <c r="U6" s="124"/>
      <c r="V6" s="124"/>
      <c r="W6" s="124"/>
      <c r="X6" s="124"/>
    </row>
    <row r="7" spans="2:33" x14ac:dyDescent="0.25">
      <c r="B7" s="82" t="s">
        <v>304</v>
      </c>
      <c r="C7" s="21"/>
      <c r="D7" t="s">
        <v>1</v>
      </c>
      <c r="E7" t="s">
        <v>1</v>
      </c>
      <c r="G7" s="125"/>
      <c r="H7" s="126"/>
      <c r="I7" s="127"/>
      <c r="K7" s="128"/>
      <c r="L7" s="286">
        <f>SUMPRODUCT(R$5:X$5,R7:X7)/Thousands</f>
        <v>0</v>
      </c>
      <c r="M7" s="129"/>
      <c r="N7" s="129"/>
      <c r="O7" s="125"/>
      <c r="P7" s="231">
        <f t="shared" ref="P7" si="0">SUM(K7:O7)</f>
        <v>0</v>
      </c>
      <c r="Q7" s="218"/>
      <c r="R7" s="131">
        <v>0</v>
      </c>
      <c r="S7" s="132"/>
      <c r="T7" s="132"/>
      <c r="U7" s="132"/>
      <c r="V7" s="132"/>
      <c r="W7" s="132"/>
      <c r="X7" s="132"/>
    </row>
    <row r="8" spans="2:33" x14ac:dyDescent="0.25">
      <c r="B8" s="133"/>
      <c r="C8" s="261"/>
      <c r="D8" s="44"/>
      <c r="E8" s="44"/>
      <c r="F8" s="44"/>
      <c r="G8" s="134"/>
      <c r="H8" s="135"/>
      <c r="I8" s="136"/>
      <c r="K8" s="137"/>
      <c r="L8" s="137"/>
      <c r="M8" s="134"/>
      <c r="N8" s="138"/>
      <c r="O8" s="138"/>
      <c r="P8" s="139"/>
      <c r="Q8" s="130"/>
      <c r="R8" s="124"/>
      <c r="S8" s="124"/>
      <c r="T8" s="124"/>
      <c r="U8" s="124"/>
      <c r="V8" s="124"/>
      <c r="W8" s="124"/>
      <c r="X8" s="124"/>
    </row>
    <row r="9" spans="2:33" x14ac:dyDescent="0.25">
      <c r="B9" s="140" t="s">
        <v>273</v>
      </c>
      <c r="C9" s="260"/>
      <c r="D9" s="115"/>
      <c r="E9" s="115"/>
      <c r="F9" s="115"/>
      <c r="G9" s="141"/>
      <c r="H9" s="108"/>
      <c r="I9" s="109"/>
      <c r="K9" s="142"/>
      <c r="L9" s="142"/>
      <c r="M9" s="141"/>
      <c r="N9" s="143"/>
      <c r="O9" s="143"/>
      <c r="P9" s="144"/>
      <c r="R9" s="124"/>
      <c r="S9" s="124"/>
      <c r="T9" s="124"/>
      <c r="U9" s="124"/>
      <c r="V9" s="124"/>
      <c r="W9" s="124"/>
      <c r="X9" s="124"/>
    </row>
    <row r="10" spans="2:33" x14ac:dyDescent="0.25">
      <c r="B10" s="82"/>
      <c r="C10" s="21" t="s">
        <v>274</v>
      </c>
      <c r="D10" t="s">
        <v>1</v>
      </c>
      <c r="E10" t="s">
        <v>1</v>
      </c>
      <c r="G10" s="125"/>
      <c r="H10" s="126"/>
      <c r="I10" s="127"/>
      <c r="K10" s="145"/>
      <c r="L10" s="169">
        <f>SUMPRODUCT(R$5:X$5,R10:X10)/Thousands</f>
        <v>0</v>
      </c>
      <c r="M10" s="147"/>
      <c r="N10" s="285">
        <v>0</v>
      </c>
      <c r="O10" s="148"/>
      <c r="P10" s="231">
        <f>SUM(K10:O10)</f>
        <v>0</v>
      </c>
      <c r="Q10" s="149"/>
      <c r="R10" s="131"/>
      <c r="S10" s="131"/>
      <c r="T10" s="131"/>
      <c r="U10" s="131"/>
      <c r="V10" s="131"/>
      <c r="W10" s="131"/>
      <c r="X10" s="131"/>
      <c r="Y10" s="241">
        <f>SUM(R10:X10)</f>
        <v>0</v>
      </c>
      <c r="AA10" s="6"/>
      <c r="AB10" s="6"/>
      <c r="AC10" s="6"/>
      <c r="AD10" s="6"/>
      <c r="AE10" s="6"/>
      <c r="AF10" s="6"/>
      <c r="AG10" s="6"/>
    </row>
    <row r="11" spans="2:33" x14ac:dyDescent="0.25">
      <c r="B11" s="82"/>
      <c r="C11" s="21" t="s">
        <v>275</v>
      </c>
      <c r="D11" t="s">
        <v>1</v>
      </c>
      <c r="E11" t="s">
        <v>1</v>
      </c>
      <c r="G11" s="125"/>
      <c r="H11" s="126"/>
      <c r="I11" s="127"/>
      <c r="K11" s="145"/>
      <c r="L11" s="169">
        <f>SUMPRODUCT(R$5:X$5,R11:X11)/Thousands</f>
        <v>0</v>
      </c>
      <c r="M11" s="147"/>
      <c r="N11" s="129"/>
      <c r="O11" s="148"/>
      <c r="P11" s="231">
        <f>SUM(K11:O11)</f>
        <v>0</v>
      </c>
      <c r="Q11" s="130"/>
      <c r="R11" s="131"/>
      <c r="S11" s="131"/>
      <c r="T11" s="131"/>
      <c r="U11" s="131"/>
      <c r="V11" s="131"/>
      <c r="W11" s="131"/>
      <c r="X11" s="131"/>
      <c r="Y11" s="241">
        <f t="shared" ref="Y11:Y13" si="1">SUM(R11:X11)</f>
        <v>0</v>
      </c>
      <c r="AA11" s="6"/>
      <c r="AB11" s="6"/>
      <c r="AC11" s="6"/>
      <c r="AD11" s="6"/>
      <c r="AE11" s="6"/>
      <c r="AF11" s="6"/>
      <c r="AG11" s="6"/>
    </row>
    <row r="12" spans="2:33" x14ac:dyDescent="0.25">
      <c r="B12" s="82"/>
      <c r="C12" s="21" t="s">
        <v>276</v>
      </c>
      <c r="D12" t="s">
        <v>1</v>
      </c>
      <c r="E12" t="s">
        <v>1</v>
      </c>
      <c r="G12" s="125"/>
      <c r="H12" s="126"/>
      <c r="I12" s="127"/>
      <c r="K12" s="145"/>
      <c r="L12" s="169">
        <f>SUMPRODUCT(R$5:X$5,R12:X12)/Thousands</f>
        <v>0</v>
      </c>
      <c r="M12" s="147"/>
      <c r="N12" s="285">
        <v>0</v>
      </c>
      <c r="O12" s="148"/>
      <c r="P12" s="231">
        <f>SUM(K12:O12)</f>
        <v>0</v>
      </c>
      <c r="Q12" s="149"/>
      <c r="R12" s="131"/>
      <c r="S12" s="131"/>
      <c r="T12" s="131"/>
      <c r="U12" s="131"/>
      <c r="V12" s="131"/>
      <c r="W12" s="131"/>
      <c r="X12" s="131"/>
      <c r="Y12" s="241">
        <f t="shared" si="1"/>
        <v>0</v>
      </c>
      <c r="AA12" s="6"/>
      <c r="AB12" s="6"/>
      <c r="AC12" s="6"/>
      <c r="AD12" s="6"/>
      <c r="AE12" s="6"/>
      <c r="AF12" s="6"/>
      <c r="AG12" s="6"/>
    </row>
    <row r="13" spans="2:33" x14ac:dyDescent="0.25">
      <c r="B13" s="82"/>
      <c r="C13" s="21" t="s">
        <v>277</v>
      </c>
      <c r="D13" t="s">
        <v>1</v>
      </c>
      <c r="E13" t="s">
        <v>1</v>
      </c>
      <c r="G13" s="125"/>
      <c r="H13" s="126"/>
      <c r="I13" s="127"/>
      <c r="K13" s="145"/>
      <c r="L13" s="169">
        <f>SUMPRODUCT(R$5:X$5,R13:X13)/Thousands</f>
        <v>0</v>
      </c>
      <c r="M13" s="147"/>
      <c r="N13" s="285">
        <v>0</v>
      </c>
      <c r="O13" s="148"/>
      <c r="P13" s="231">
        <f>SUM(K13:O13)</f>
        <v>0</v>
      </c>
      <c r="Q13" s="130"/>
      <c r="R13" s="131"/>
      <c r="S13" s="131"/>
      <c r="T13" s="131"/>
      <c r="U13" s="131"/>
      <c r="V13" s="131"/>
      <c r="W13" s="131"/>
      <c r="X13" s="131"/>
      <c r="Y13" s="241">
        <f t="shared" si="1"/>
        <v>0</v>
      </c>
      <c r="AA13" s="6"/>
      <c r="AB13" s="6"/>
      <c r="AC13" s="6"/>
      <c r="AD13" s="6"/>
      <c r="AE13" s="6"/>
      <c r="AF13" s="6"/>
      <c r="AG13" s="6"/>
    </row>
    <row r="14" spans="2:33" x14ac:dyDescent="0.25">
      <c r="B14" s="133"/>
      <c r="C14" s="261"/>
      <c r="D14" s="44"/>
      <c r="E14" s="44"/>
      <c r="F14" s="44"/>
      <c r="G14" s="137"/>
      <c r="H14" s="135"/>
      <c r="I14" s="136"/>
      <c r="K14" s="151"/>
      <c r="L14" s="152"/>
      <c r="M14" s="152"/>
      <c r="N14" s="153"/>
      <c r="O14" s="152"/>
      <c r="P14" s="154"/>
      <c r="R14" s="124"/>
      <c r="S14" s="124"/>
      <c r="T14" s="124"/>
      <c r="U14" s="124"/>
      <c r="V14" s="124"/>
      <c r="W14" s="124"/>
      <c r="X14" s="124"/>
    </row>
    <row r="15" spans="2:33" x14ac:dyDescent="0.25">
      <c r="B15" s="140" t="s">
        <v>379</v>
      </c>
      <c r="C15" s="260"/>
      <c r="D15" s="115"/>
      <c r="E15" s="115"/>
      <c r="F15" s="115"/>
      <c r="G15" s="155"/>
      <c r="H15" s="114"/>
      <c r="I15" s="156"/>
      <c r="K15" s="157"/>
      <c r="L15" s="157"/>
      <c r="M15" s="158"/>
      <c r="N15" s="158"/>
      <c r="O15" s="158"/>
      <c r="P15" s="159"/>
      <c r="Q15" s="160"/>
      <c r="R15" s="161"/>
      <c r="S15" s="124"/>
      <c r="T15" s="124"/>
      <c r="U15" s="124"/>
      <c r="V15" s="124"/>
      <c r="W15" s="124"/>
      <c r="X15" s="124"/>
      <c r="AA15" s="5"/>
      <c r="AB15" s="5"/>
      <c r="AC15" s="5"/>
      <c r="AD15" s="5"/>
      <c r="AE15" s="5"/>
      <c r="AF15" s="5"/>
      <c r="AG15" s="5"/>
    </row>
    <row r="16" spans="2:33" x14ac:dyDescent="0.25">
      <c r="B16" s="117" t="s">
        <v>100</v>
      </c>
      <c r="C16" s="21"/>
      <c r="G16" s="163"/>
      <c r="H16" s="82"/>
      <c r="I16" s="164"/>
      <c r="J16" s="162"/>
      <c r="K16" s="146"/>
      <c r="L16" s="146"/>
      <c r="M16" s="165"/>
      <c r="N16" s="165"/>
      <c r="O16" s="165"/>
      <c r="P16" s="166"/>
      <c r="R16" s="124"/>
      <c r="S16" s="124"/>
      <c r="T16" s="124"/>
      <c r="U16" s="124"/>
      <c r="V16" s="124"/>
      <c r="W16" s="124"/>
      <c r="X16" s="124"/>
      <c r="AA16" s="5"/>
      <c r="AB16" s="5"/>
      <c r="AC16" s="5"/>
      <c r="AD16" s="5"/>
      <c r="AE16" s="5"/>
      <c r="AF16" s="5"/>
      <c r="AG16" s="5"/>
    </row>
    <row r="17" spans="2:47" x14ac:dyDescent="0.25">
      <c r="B17" s="82"/>
      <c r="C17" s="21" t="s">
        <v>314</v>
      </c>
      <c r="D17" s="21" t="str">
        <f>INDEX(Unit_Rates!$C$7:$K$116,MATCH($C17,Unit_Rates!$C$7:$C$116,0),5)</f>
        <v>Subtransmission</v>
      </c>
      <c r="E17" s="21" t="str">
        <f>INDEX(Unit_Rates!$C$7:$K$116,MATCH($C17,Unit_Rates!$C$7:$C$116,0),6)</f>
        <v>Augmentation</v>
      </c>
      <c r="F17" s="21" t="str">
        <f>D17&amp;E17</f>
        <v>SubtransmissionAugmentation</v>
      </c>
      <c r="G17" s="167">
        <f>INDEX(Unit_Rates!$C$7:$K$116,MATCH($C17,Unit_Rates!$C$7:$C$116,0),7)</f>
        <v>185.47500200000002</v>
      </c>
      <c r="H17" s="168"/>
      <c r="I17" s="120" t="s">
        <v>278</v>
      </c>
      <c r="J17" s="162"/>
      <c r="K17" s="169">
        <f t="shared" ref="K17:K26" si="2">G17*$H17</f>
        <v>0</v>
      </c>
      <c r="L17" s="170">
        <f t="shared" ref="L17:L52" si="3">SUMPRODUCT(R$5:X$5,R17:X17)/Thousands</f>
        <v>0</v>
      </c>
      <c r="M17" s="171"/>
      <c r="N17" s="178">
        <f>$H17*INDEX(Unit_Rates!$C$7:$K$116,MATCH($C17,Unit_Rates!$C$7:$C$116,0),8)</f>
        <v>0</v>
      </c>
      <c r="O17" s="178">
        <f>$H17*INDEX(Unit_Rates!$C$7:$K$116,MATCH($C17,Unit_Rates!$C$7:$C$116,0),9)</f>
        <v>0</v>
      </c>
      <c r="P17" s="231">
        <f t="shared" ref="P17:P47" si="4">SUM(K17:O17)</f>
        <v>0</v>
      </c>
      <c r="Q17" s="250">
        <f>P17-H17*VLOOKUP(C17,Unit_Rates!$C$7:$E$116,3,FALSE)</f>
        <v>0</v>
      </c>
      <c r="R17" s="131">
        <v>0</v>
      </c>
      <c r="S17" s="131">
        <v>0</v>
      </c>
      <c r="T17" s="131">
        <v>0</v>
      </c>
      <c r="U17" s="131">
        <v>0</v>
      </c>
      <c r="V17" s="131">
        <v>0</v>
      </c>
      <c r="W17" s="131">
        <v>0</v>
      </c>
      <c r="X17" s="131">
        <v>0</v>
      </c>
      <c r="Y17" s="241">
        <f t="shared" ref="Y17:Y51" si="5">SUM(R17:X17)</f>
        <v>0</v>
      </c>
      <c r="AA17" s="5"/>
      <c r="AB17" s="5"/>
      <c r="AC17" s="5"/>
      <c r="AD17" s="5"/>
      <c r="AE17" s="5"/>
      <c r="AF17" s="5"/>
      <c r="AG17" s="5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</row>
    <row r="18" spans="2:47" x14ac:dyDescent="0.25">
      <c r="B18" s="82"/>
      <c r="C18" s="21" t="s">
        <v>315</v>
      </c>
      <c r="D18" s="21" t="str">
        <f>INDEX(Unit_Rates!$C$7:$K$116,MATCH($C18,Unit_Rates!$C$7:$C$116,0),5)</f>
        <v>Subtransmission</v>
      </c>
      <c r="E18" s="21" t="str">
        <f>INDEX(Unit_Rates!$C$7:$K$116,MATCH($C18,Unit_Rates!$C$7:$C$116,0),6)</f>
        <v>Augmentation</v>
      </c>
      <c r="F18" s="21" t="str">
        <f t="shared" ref="F18:F52" si="6">D18&amp;E18</f>
        <v>SubtransmissionAugmentation</v>
      </c>
      <c r="G18" s="167">
        <f>INDEX(Unit_Rates!$C$7:$K$116,MATCH($C18,Unit_Rates!$C$7:$C$116,0),7)</f>
        <v>74.154499800000011</v>
      </c>
      <c r="H18" s="168"/>
      <c r="I18" s="120" t="s">
        <v>278</v>
      </c>
      <c r="J18" s="162"/>
      <c r="K18" s="169">
        <f t="shared" si="2"/>
        <v>0</v>
      </c>
      <c r="L18" s="170">
        <f t="shared" si="3"/>
        <v>0</v>
      </c>
      <c r="M18" s="171"/>
      <c r="N18" s="178">
        <f>$H18*INDEX(Unit_Rates!$C$7:$K$116,MATCH($C18,Unit_Rates!$C$7:$C$116,0),8)</f>
        <v>0</v>
      </c>
      <c r="O18" s="178">
        <f>$H18*INDEX(Unit_Rates!$C$7:$K$116,MATCH($C18,Unit_Rates!$C$7:$C$116,0),9)</f>
        <v>0</v>
      </c>
      <c r="P18" s="231">
        <f t="shared" si="4"/>
        <v>0</v>
      </c>
      <c r="Q18" s="250">
        <f>P18-H18*VLOOKUP(C18,Unit_Rates!$C$7:$E$116,3,FALSE)</f>
        <v>0</v>
      </c>
      <c r="R18" s="131">
        <v>0</v>
      </c>
      <c r="S18" s="131">
        <v>0</v>
      </c>
      <c r="T18" s="131">
        <v>0</v>
      </c>
      <c r="U18" s="131">
        <v>0</v>
      </c>
      <c r="V18" s="131">
        <v>0</v>
      </c>
      <c r="W18" s="131">
        <v>0</v>
      </c>
      <c r="X18" s="131">
        <v>0</v>
      </c>
      <c r="Y18" s="241">
        <f t="shared" si="5"/>
        <v>0</v>
      </c>
      <c r="AA18" s="5"/>
      <c r="AB18" s="5"/>
      <c r="AC18" s="5"/>
      <c r="AD18" s="5"/>
      <c r="AE18" s="5"/>
      <c r="AF18" s="5"/>
      <c r="AG18" s="5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</row>
    <row r="19" spans="2:47" x14ac:dyDescent="0.25">
      <c r="B19" s="82"/>
      <c r="C19" s="21" t="s">
        <v>316</v>
      </c>
      <c r="D19" s="21" t="str">
        <f>INDEX(Unit_Rates!$C$7:$K$116,MATCH($C19,Unit_Rates!$C$7:$C$116,0),5)</f>
        <v>Subtransmission</v>
      </c>
      <c r="E19" s="21" t="str">
        <f>INDEX(Unit_Rates!$C$7:$K$116,MATCH($C19,Unit_Rates!$C$7:$C$116,0),6)</f>
        <v>Augmentation</v>
      </c>
      <c r="F19" s="21" t="str">
        <f t="shared" ref="F19" si="7">D19&amp;E19</f>
        <v>SubtransmissionAugmentation</v>
      </c>
      <c r="G19" s="167">
        <f>INDEX(Unit_Rates!$C$7:$K$116,MATCH($C19,Unit_Rates!$C$7:$C$116,0),7)</f>
        <v>37.493999250000002</v>
      </c>
      <c r="H19" s="168"/>
      <c r="I19" s="120" t="s">
        <v>278</v>
      </c>
      <c r="J19" s="162"/>
      <c r="K19" s="169">
        <f t="shared" ref="K19" si="8">G19*$H19</f>
        <v>0</v>
      </c>
      <c r="L19" s="170">
        <f t="shared" ref="L19" si="9">SUMPRODUCT(R$5:X$5,R19:X19)/Thousands</f>
        <v>0</v>
      </c>
      <c r="M19" s="171"/>
      <c r="N19" s="178">
        <f>$H19*INDEX(Unit_Rates!$C$7:$K$116,MATCH($C19,Unit_Rates!$C$7:$C$116,0),8)</f>
        <v>0</v>
      </c>
      <c r="O19" s="178">
        <f>$H19*INDEX(Unit_Rates!$C$7:$K$116,MATCH($C19,Unit_Rates!$C$7:$C$116,0),9)</f>
        <v>0</v>
      </c>
      <c r="P19" s="231">
        <f t="shared" ref="P19" si="10">SUM(K19:O19)</f>
        <v>0</v>
      </c>
      <c r="Q19" s="250">
        <f>P19-H19*VLOOKUP(C19,Unit_Rates!$C$7:$E$116,3,FALSE)</f>
        <v>0</v>
      </c>
      <c r="R19" s="131">
        <v>0</v>
      </c>
      <c r="S19" s="131">
        <v>0</v>
      </c>
      <c r="T19" s="131">
        <v>0</v>
      </c>
      <c r="U19" s="131">
        <v>0</v>
      </c>
      <c r="V19" s="131">
        <v>0</v>
      </c>
      <c r="W19" s="131">
        <v>0</v>
      </c>
      <c r="X19" s="131">
        <v>0</v>
      </c>
      <c r="Y19" s="241">
        <f t="shared" si="5"/>
        <v>0</v>
      </c>
      <c r="AA19" s="5"/>
      <c r="AB19" s="5"/>
      <c r="AC19" s="5"/>
      <c r="AD19" s="5"/>
      <c r="AE19" s="5"/>
      <c r="AF19" s="5"/>
      <c r="AG19" s="5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</row>
    <row r="20" spans="2:47" x14ac:dyDescent="0.25">
      <c r="B20" s="82"/>
      <c r="C20" s="21" t="s">
        <v>301</v>
      </c>
      <c r="D20" s="21" t="str">
        <f>INDEX(Unit_Rates!$C$7:$K$116,MATCH($C20,Unit_Rates!$C$7:$C$116,0),5)</f>
        <v>Subtransmission</v>
      </c>
      <c r="E20" s="21" t="str">
        <f>INDEX(Unit_Rates!$C$7:$K$116,MATCH($C20,Unit_Rates!$C$7:$C$116,0),6)</f>
        <v>Augmentation</v>
      </c>
      <c r="F20" s="21" t="str">
        <f t="shared" si="6"/>
        <v>SubtransmissionAugmentation</v>
      </c>
      <c r="G20" s="167">
        <f>INDEX(Unit_Rates!$C$7:$K$116,MATCH($C20,Unit_Rates!$C$7:$C$116,0),7)</f>
        <v>787.07449999999994</v>
      </c>
      <c r="H20" s="168"/>
      <c r="I20" s="120" t="s">
        <v>278</v>
      </c>
      <c r="J20" s="162"/>
      <c r="K20" s="169">
        <f t="shared" si="2"/>
        <v>0</v>
      </c>
      <c r="L20" s="170">
        <f t="shared" ref="L20" si="11">SUMPRODUCT(R$5:X$5,R20:X20)/Thousands</f>
        <v>0</v>
      </c>
      <c r="M20" s="171"/>
      <c r="N20" s="178">
        <f>$H20*INDEX(Unit_Rates!$C$7:$K$116,MATCH($C20,Unit_Rates!$C$7:$C$116,0),8)</f>
        <v>0</v>
      </c>
      <c r="O20" s="178">
        <f>$H20*INDEX(Unit_Rates!$C$7:$K$116,MATCH($C20,Unit_Rates!$C$7:$C$116,0),9)</f>
        <v>0</v>
      </c>
      <c r="P20" s="231">
        <f t="shared" ref="P20" si="12">SUM(K20:O20)</f>
        <v>0</v>
      </c>
      <c r="Q20" s="250">
        <f>P20-H20*VLOOKUP(C20,Unit_Rates!$C$7:$E$116,3,FALSE)</f>
        <v>0</v>
      </c>
      <c r="R20" s="131">
        <v>0</v>
      </c>
      <c r="S20" s="131">
        <v>0</v>
      </c>
      <c r="T20" s="131">
        <v>0</v>
      </c>
      <c r="U20" s="131">
        <v>0</v>
      </c>
      <c r="V20" s="131">
        <v>0</v>
      </c>
      <c r="W20" s="131">
        <v>0</v>
      </c>
      <c r="X20" s="131">
        <v>0</v>
      </c>
      <c r="Y20" s="241">
        <f t="shared" si="5"/>
        <v>0</v>
      </c>
      <c r="AA20" s="5"/>
      <c r="AB20" s="5"/>
      <c r="AC20" s="5"/>
      <c r="AD20" s="5"/>
      <c r="AE20" s="5"/>
      <c r="AF20" s="5"/>
      <c r="AG20" s="5"/>
      <c r="AL20" s="333"/>
      <c r="AU20" s="283"/>
    </row>
    <row r="21" spans="2:47" x14ac:dyDescent="0.25">
      <c r="B21" s="82"/>
      <c r="C21" s="21" t="s">
        <v>313</v>
      </c>
      <c r="D21" s="21" t="str">
        <f>INDEX(Unit_Rates!$C$7:$K$116,MATCH($C21,Unit_Rates!$C$7:$C$116,0),5)</f>
        <v>Subtransmission</v>
      </c>
      <c r="E21" s="21" t="str">
        <f>INDEX(Unit_Rates!$C$7:$K$116,MATCH($C21,Unit_Rates!$C$7:$C$116,0),6)</f>
        <v>Augmentation</v>
      </c>
      <c r="F21" s="21" t="str">
        <f t="shared" ref="F21" si="13">D21&amp;E21</f>
        <v>SubtransmissionAugmentation</v>
      </c>
      <c r="G21" s="167">
        <f>INDEX(Unit_Rates!$C$7:$K$116,MATCH($C21,Unit_Rates!$C$7:$C$116,0),7)</f>
        <v>41.255909799999998</v>
      </c>
      <c r="H21" s="168"/>
      <c r="I21" s="120" t="s">
        <v>278</v>
      </c>
      <c r="J21" s="162"/>
      <c r="K21" s="169">
        <f t="shared" si="2"/>
        <v>0</v>
      </c>
      <c r="L21" s="170">
        <f t="shared" ref="L21" si="14">SUMPRODUCT(R$5:X$5,R21:X21)/Thousands</f>
        <v>0</v>
      </c>
      <c r="M21" s="171"/>
      <c r="N21" s="178">
        <f>$H21*INDEX(Unit_Rates!$C$7:$K$116,MATCH($C21,Unit_Rates!$C$7:$C$116,0),8)</f>
        <v>0</v>
      </c>
      <c r="O21" s="178">
        <f>$H21*INDEX(Unit_Rates!$C$7:$K$116,MATCH($C21,Unit_Rates!$C$7:$C$116,0),9)</f>
        <v>0</v>
      </c>
      <c r="P21" s="231">
        <f t="shared" ref="P21" si="15">SUM(K21:O21)</f>
        <v>0</v>
      </c>
      <c r="Q21" s="250">
        <f>P21-H21*VLOOKUP(C21,Unit_Rates!$C$7:$E$116,3,FALSE)</f>
        <v>0</v>
      </c>
      <c r="R21" s="131">
        <v>0</v>
      </c>
      <c r="S21" s="131">
        <v>0</v>
      </c>
      <c r="T21" s="131">
        <v>0</v>
      </c>
      <c r="U21" s="131">
        <v>0</v>
      </c>
      <c r="V21" s="131">
        <v>0</v>
      </c>
      <c r="W21" s="131">
        <v>0</v>
      </c>
      <c r="X21" s="131">
        <v>0</v>
      </c>
      <c r="Y21" s="241">
        <f t="shared" si="5"/>
        <v>0</v>
      </c>
      <c r="AA21" s="5"/>
      <c r="AB21" s="5"/>
      <c r="AC21" s="5"/>
      <c r="AD21" s="5"/>
      <c r="AE21" s="5"/>
      <c r="AF21" s="5"/>
      <c r="AG21" s="5"/>
      <c r="AU21" s="283"/>
    </row>
    <row r="22" spans="2:47" x14ac:dyDescent="0.25">
      <c r="B22" s="82"/>
      <c r="C22" s="21" t="s">
        <v>303</v>
      </c>
      <c r="D22" s="21" t="str">
        <f>INDEX(Unit_Rates!$C$7:$K$116,MATCH($C22,Unit_Rates!$C$7:$C$116,0),5)</f>
        <v>Subtransmission</v>
      </c>
      <c r="E22" s="21" t="str">
        <f>INDEX(Unit_Rates!$C$7:$K$116,MATCH($C22,Unit_Rates!$C$7:$C$116,0),6)</f>
        <v>Augmentation</v>
      </c>
      <c r="F22" s="21" t="str">
        <f t="shared" ref="F22" si="16">D22&amp;E22</f>
        <v>SubtransmissionAugmentation</v>
      </c>
      <c r="G22" s="167">
        <f>INDEX(Unit_Rates!$C$7:$K$116,MATCH($C22,Unit_Rates!$C$7:$C$116,0),7)</f>
        <v>106.81319599999999</v>
      </c>
      <c r="H22" s="168"/>
      <c r="I22" s="120" t="s">
        <v>278</v>
      </c>
      <c r="J22" s="162"/>
      <c r="K22" s="169">
        <f t="shared" si="2"/>
        <v>0</v>
      </c>
      <c r="L22" s="170">
        <f t="shared" ref="L22" si="17">SUMPRODUCT(R$5:X$5,R22:X22)/Thousands</f>
        <v>0</v>
      </c>
      <c r="M22" s="171"/>
      <c r="N22" s="178">
        <f>$H22*INDEX(Unit_Rates!$C$7:$K$116,MATCH($C22,Unit_Rates!$C$7:$C$116,0),8)</f>
        <v>0</v>
      </c>
      <c r="O22" s="178">
        <f>$H22*INDEX(Unit_Rates!$C$7:$K$116,MATCH($C22,Unit_Rates!$C$7:$C$116,0),9)</f>
        <v>0</v>
      </c>
      <c r="P22" s="231">
        <f t="shared" ref="P22" si="18">SUM(K22:O22)</f>
        <v>0</v>
      </c>
      <c r="Q22" s="250">
        <f>P22-H22*VLOOKUP(C22,Unit_Rates!$C$7:$E$116,3,FALSE)</f>
        <v>0</v>
      </c>
      <c r="R22" s="131">
        <v>0</v>
      </c>
      <c r="S22" s="131">
        <v>0</v>
      </c>
      <c r="T22" s="131">
        <v>0</v>
      </c>
      <c r="U22" s="131">
        <v>0</v>
      </c>
      <c r="V22" s="131">
        <v>0</v>
      </c>
      <c r="W22" s="131">
        <v>0</v>
      </c>
      <c r="X22" s="131">
        <v>0</v>
      </c>
      <c r="Y22" s="241">
        <f t="shared" si="5"/>
        <v>0</v>
      </c>
      <c r="AA22" s="5"/>
      <c r="AB22" s="5"/>
      <c r="AC22" s="5"/>
      <c r="AD22" s="5"/>
      <c r="AE22" s="5"/>
      <c r="AF22" s="5"/>
      <c r="AG22" s="5"/>
      <c r="AK22" s="283"/>
      <c r="AL22" s="283"/>
      <c r="AM22" s="283"/>
      <c r="AN22" s="283"/>
      <c r="AO22" s="289"/>
      <c r="AP22" s="289"/>
      <c r="AQ22" s="289"/>
      <c r="AR22" s="289"/>
      <c r="AS22" s="289"/>
      <c r="AT22" s="289"/>
      <c r="AU22" s="283"/>
    </row>
    <row r="23" spans="2:47" x14ac:dyDescent="0.25">
      <c r="B23" s="82"/>
      <c r="C23" s="21" t="s">
        <v>318</v>
      </c>
      <c r="D23" s="21" t="str">
        <f>INDEX(Unit_Rates!$C$7:$K$116,MATCH($C23,Unit_Rates!$C$7:$C$116,0),5)</f>
        <v>Subtransmission</v>
      </c>
      <c r="E23" s="21" t="str">
        <f>INDEX(Unit_Rates!$C$7:$K$116,MATCH($C23,Unit_Rates!$C$7:$C$116,0),6)</f>
        <v>Augmentation</v>
      </c>
      <c r="F23" s="21" t="str">
        <f t="shared" si="6"/>
        <v>SubtransmissionAugmentation</v>
      </c>
      <c r="G23" s="167">
        <f>INDEX(Unit_Rates!$C$7:$K$116,MATCH($C23,Unit_Rates!$C$7:$C$116,0),7)</f>
        <v>58.265687</v>
      </c>
      <c r="H23" s="168"/>
      <c r="I23" s="120" t="s">
        <v>278</v>
      </c>
      <c r="J23" s="162"/>
      <c r="K23" s="169">
        <f t="shared" si="2"/>
        <v>0</v>
      </c>
      <c r="L23" s="170">
        <f t="shared" si="3"/>
        <v>0</v>
      </c>
      <c r="M23" s="171"/>
      <c r="N23" s="178">
        <f>$H23*INDEX(Unit_Rates!$C$7:$K$116,MATCH($C23,Unit_Rates!$C$7:$C$116,0),8)</f>
        <v>0</v>
      </c>
      <c r="O23" s="178">
        <f>$H23*INDEX(Unit_Rates!$C$7:$K$116,MATCH($C23,Unit_Rates!$C$7:$C$116,0),9)</f>
        <v>0</v>
      </c>
      <c r="P23" s="231">
        <f t="shared" si="4"/>
        <v>0</v>
      </c>
      <c r="Q23" s="250">
        <f>P23-H23*VLOOKUP(C23,Unit_Rates!$C$7:$E$116,3,FALSE)</f>
        <v>0</v>
      </c>
      <c r="R23" s="131">
        <v>0</v>
      </c>
      <c r="S23" s="131">
        <v>0</v>
      </c>
      <c r="T23" s="131">
        <v>0</v>
      </c>
      <c r="U23" s="131">
        <v>0</v>
      </c>
      <c r="V23" s="131">
        <v>0</v>
      </c>
      <c r="W23" s="131">
        <v>0</v>
      </c>
      <c r="X23" s="131">
        <v>0</v>
      </c>
      <c r="Y23" s="241">
        <f t="shared" si="5"/>
        <v>0</v>
      </c>
      <c r="AK23" s="283"/>
      <c r="AL23" s="283"/>
      <c r="AM23" s="283"/>
      <c r="AN23" s="283"/>
      <c r="AO23" s="289"/>
      <c r="AP23" s="289"/>
      <c r="AQ23" s="289"/>
      <c r="AR23" s="289"/>
      <c r="AS23" s="289"/>
      <c r="AT23" s="289"/>
      <c r="AU23" s="283"/>
    </row>
    <row r="24" spans="2:47" x14ac:dyDescent="0.25">
      <c r="B24" s="82"/>
      <c r="C24" s="21" t="s">
        <v>369</v>
      </c>
      <c r="D24" s="21" t="str">
        <f>INDEX(Unit_Rates!$C$7:$K$116,MATCH($C24,Unit_Rates!$C$7:$C$116,0),5)</f>
        <v>Subtransmission</v>
      </c>
      <c r="E24" s="21" t="str">
        <f>INDEX(Unit_Rates!$C$7:$K$116,MATCH($C24,Unit_Rates!$C$7:$C$116,0),6)</f>
        <v>Augmentation</v>
      </c>
      <c r="F24" s="21" t="str">
        <f t="shared" si="6"/>
        <v>SubtransmissionAugmentation</v>
      </c>
      <c r="G24" s="167">
        <f>INDEX(Unit_Rates!$C$7:$K$116,MATCH($C24,Unit_Rates!$C$7:$C$116,0),7)</f>
        <v>47.718692238676105</v>
      </c>
      <c r="H24" s="168"/>
      <c r="I24" s="120" t="s">
        <v>278</v>
      </c>
      <c r="J24" s="162"/>
      <c r="K24" s="169">
        <f t="shared" si="2"/>
        <v>0</v>
      </c>
      <c r="L24" s="170">
        <f t="shared" si="3"/>
        <v>0</v>
      </c>
      <c r="M24" s="171"/>
      <c r="N24" s="178">
        <f>$H24*INDEX(Unit_Rates!$C$7:$K$116,MATCH($C24,Unit_Rates!$C$7:$C$116,0),8)</f>
        <v>0</v>
      </c>
      <c r="O24" s="178">
        <f>$H24*INDEX(Unit_Rates!$C$7:$K$116,MATCH($C24,Unit_Rates!$C$7:$C$116,0),9)</f>
        <v>0</v>
      </c>
      <c r="P24" s="231">
        <f t="shared" si="4"/>
        <v>0</v>
      </c>
      <c r="Q24" s="250">
        <f>P24-H24*VLOOKUP(C24,Unit_Rates!$C$7:$E$116,3,FALSE)</f>
        <v>0</v>
      </c>
      <c r="R24" s="131">
        <v>0</v>
      </c>
      <c r="S24" s="131">
        <v>0</v>
      </c>
      <c r="T24" s="131">
        <v>0</v>
      </c>
      <c r="U24" s="131">
        <v>0</v>
      </c>
      <c r="V24" s="131">
        <v>0</v>
      </c>
      <c r="W24" s="131">
        <v>0</v>
      </c>
      <c r="X24" s="131">
        <v>0</v>
      </c>
      <c r="Y24" s="241">
        <f t="shared" si="5"/>
        <v>0</v>
      </c>
      <c r="AK24" s="283"/>
      <c r="AL24" s="283"/>
      <c r="AM24" s="283"/>
      <c r="AN24" s="283"/>
      <c r="AO24" s="289"/>
      <c r="AP24" s="289"/>
      <c r="AQ24" s="289"/>
      <c r="AR24" s="289"/>
      <c r="AS24" s="289"/>
      <c r="AT24" s="289"/>
      <c r="AU24" s="283"/>
    </row>
    <row r="25" spans="2:47" x14ac:dyDescent="0.25">
      <c r="B25" s="82"/>
      <c r="C25" s="21" t="s">
        <v>354</v>
      </c>
      <c r="D25" s="21" t="str">
        <f>INDEX(Unit_Rates!$C$7:$K$116,MATCH($C25,Unit_Rates!$C$7:$C$116,0),5)</f>
        <v>Subtransmission</v>
      </c>
      <c r="E25" s="21" t="str">
        <f>INDEX(Unit_Rates!$C$7:$K$116,MATCH($C25,Unit_Rates!$C$7:$C$116,0),6)</f>
        <v>Augmentation</v>
      </c>
      <c r="F25" s="21" t="str">
        <f t="shared" ref="F25" si="19">D25&amp;E25</f>
        <v>SubtransmissionAugmentation</v>
      </c>
      <c r="G25" s="167">
        <f>INDEX(Unit_Rates!$C$7:$K$116,MATCH($C25,Unit_Rates!$C$7:$C$116,0),7)</f>
        <v>169.007993</v>
      </c>
      <c r="H25" s="168"/>
      <c r="I25" s="120" t="s">
        <v>278</v>
      </c>
      <c r="J25" s="162"/>
      <c r="K25" s="169">
        <f t="shared" ref="K25" si="20">G25*$H25</f>
        <v>0</v>
      </c>
      <c r="L25" s="170">
        <f t="shared" ref="L25" si="21">SUMPRODUCT(R$5:X$5,R25:X25)/Thousands</f>
        <v>0</v>
      </c>
      <c r="M25" s="171"/>
      <c r="N25" s="178">
        <f>$H25*INDEX(Unit_Rates!$C$7:$K$116,MATCH($C25,Unit_Rates!$C$7:$C$116,0),8)</f>
        <v>0</v>
      </c>
      <c r="O25" s="178">
        <f>$H25*INDEX(Unit_Rates!$C$7:$K$116,MATCH($C25,Unit_Rates!$C$7:$C$116,0),9)</f>
        <v>0</v>
      </c>
      <c r="P25" s="231">
        <f t="shared" ref="P25" si="22">SUM(K25:O25)</f>
        <v>0</v>
      </c>
      <c r="Q25" s="250">
        <f>P25-H25*VLOOKUP(C25,Unit_Rates!$C$7:$E$116,3,FALSE)</f>
        <v>0</v>
      </c>
      <c r="R25" s="131">
        <v>0</v>
      </c>
      <c r="S25" s="131">
        <v>0</v>
      </c>
      <c r="T25" s="131">
        <v>0</v>
      </c>
      <c r="U25" s="131">
        <v>0</v>
      </c>
      <c r="V25" s="131">
        <v>0</v>
      </c>
      <c r="W25" s="131">
        <v>0</v>
      </c>
      <c r="X25" s="131">
        <v>0</v>
      </c>
      <c r="Y25" s="241">
        <f t="shared" ref="Y25" si="23">SUM(R25:X25)</f>
        <v>0</v>
      </c>
      <c r="AK25" s="283"/>
      <c r="AL25" s="283"/>
      <c r="AM25" s="283"/>
      <c r="AN25" s="283"/>
      <c r="AO25" s="289"/>
      <c r="AP25" s="289"/>
      <c r="AQ25" s="289"/>
      <c r="AR25" s="289"/>
      <c r="AS25" s="289"/>
      <c r="AT25" s="289"/>
      <c r="AU25" s="283"/>
    </row>
    <row r="26" spans="2:47" x14ac:dyDescent="0.25">
      <c r="B26" s="82"/>
      <c r="C26" s="21" t="s">
        <v>108</v>
      </c>
      <c r="D26" s="21" t="str">
        <f>INDEX(Unit_Rates!$C$7:$K$116,MATCH($C26,Unit_Rates!$C$7:$C$116,0),5)</f>
        <v>Subtransmission</v>
      </c>
      <c r="E26" s="21" t="str">
        <f>INDEX(Unit_Rates!$C$7:$K$116,MATCH($C26,Unit_Rates!$C$7:$C$116,0),6)</f>
        <v>Augmentation</v>
      </c>
      <c r="F26" s="21" t="str">
        <f t="shared" ref="F26" si="24">D26&amp;E26</f>
        <v>SubtransmissionAugmentation</v>
      </c>
      <c r="G26" s="167">
        <f>INDEX(Unit_Rates!$C$7:$K$116,MATCH($C26,Unit_Rates!$C$7:$C$116,0),7)</f>
        <v>72.618999999999986</v>
      </c>
      <c r="H26" s="168"/>
      <c r="I26" s="172" t="s">
        <v>278</v>
      </c>
      <c r="J26" s="173"/>
      <c r="K26" s="174">
        <f t="shared" si="2"/>
        <v>0</v>
      </c>
      <c r="L26" s="174">
        <f t="shared" si="3"/>
        <v>0</v>
      </c>
      <c r="M26" s="175"/>
      <c r="N26" s="178">
        <f>$H26*INDEX(Unit_Rates!$C$7:$K$116,MATCH($C26,Unit_Rates!$C$7:$C$116,0),8)</f>
        <v>0</v>
      </c>
      <c r="O26" s="178">
        <f>$H26*INDEX(Unit_Rates!$C$7:$K$116,MATCH($C26,Unit_Rates!$C$7:$C$116,0),9)</f>
        <v>0</v>
      </c>
      <c r="P26" s="374">
        <f t="shared" si="4"/>
        <v>0</v>
      </c>
      <c r="Q26" s="250">
        <f>P26-H26*VLOOKUP(C26,Unit_Rates!$C$7:$E$116,3,FALSE)</f>
        <v>0</v>
      </c>
      <c r="R26" s="131">
        <v>0</v>
      </c>
      <c r="S26" s="131">
        <v>0</v>
      </c>
      <c r="T26" s="131">
        <v>0</v>
      </c>
      <c r="U26" s="131">
        <v>0</v>
      </c>
      <c r="V26" s="131">
        <v>0</v>
      </c>
      <c r="W26" s="131">
        <v>0</v>
      </c>
      <c r="X26" s="131">
        <v>0</v>
      </c>
      <c r="Y26" s="241">
        <f t="shared" si="5"/>
        <v>0</v>
      </c>
      <c r="AA26" s="5"/>
      <c r="AB26" s="5"/>
      <c r="AC26" s="5"/>
      <c r="AD26" s="5"/>
      <c r="AE26" s="5"/>
      <c r="AF26" s="5"/>
      <c r="AG26" s="5"/>
      <c r="AK26" s="283"/>
      <c r="AL26" s="283"/>
      <c r="AM26" s="283"/>
      <c r="AN26" s="283"/>
      <c r="AO26" s="289"/>
      <c r="AP26" s="289"/>
      <c r="AQ26" s="289"/>
      <c r="AR26" s="289"/>
      <c r="AS26" s="289"/>
      <c r="AT26" s="289"/>
      <c r="AU26" s="283"/>
    </row>
    <row r="27" spans="2:47" x14ac:dyDescent="0.25">
      <c r="B27" s="82"/>
      <c r="C27" s="21" t="s">
        <v>368</v>
      </c>
      <c r="D27" s="21" t="str">
        <f>INDEX(Unit_Rates!$C$7:$K$116,MATCH($C27,Unit_Rates!$C$7:$C$116,0),5)</f>
        <v>Subtransmission</v>
      </c>
      <c r="E27" s="21" t="str">
        <f>INDEX(Unit_Rates!$C$7:$K$116,MATCH($C27,Unit_Rates!$C$7:$C$116,0),6)</f>
        <v>Augmentation</v>
      </c>
      <c r="F27" s="21" t="str">
        <f t="shared" ref="F27" si="25">D27&amp;E27</f>
        <v>SubtransmissionAugmentation</v>
      </c>
      <c r="G27" s="167">
        <f>INDEX(Unit_Rates!$C$7:$K$116,MATCH($C27,Unit_Rates!$C$7:$C$116,0),7)</f>
        <v>1184.64554006969</v>
      </c>
      <c r="H27" s="168"/>
      <c r="I27" s="172" t="s">
        <v>278</v>
      </c>
      <c r="J27" s="173"/>
      <c r="K27" s="174">
        <f t="shared" ref="K27" si="26">G27*$H27</f>
        <v>0</v>
      </c>
      <c r="L27" s="174">
        <f t="shared" ref="L27" si="27">SUMPRODUCT(R$5:X$5,R27:X27)/Thousands</f>
        <v>0</v>
      </c>
      <c r="M27" s="175"/>
      <c r="N27" s="178">
        <f>$H27*INDEX(Unit_Rates!$C$7:$K$116,MATCH($C27,Unit_Rates!$C$7:$C$116,0),8)</f>
        <v>0</v>
      </c>
      <c r="O27" s="178">
        <f>$H27*INDEX(Unit_Rates!$C$7:$K$116,MATCH($C27,Unit_Rates!$C$7:$C$116,0),9)</f>
        <v>0</v>
      </c>
      <c r="P27" s="374">
        <f t="shared" ref="P27" si="28">SUM(K27:O27)</f>
        <v>0</v>
      </c>
      <c r="Q27" s="250">
        <f>P27-H27*VLOOKUP(C27,Unit_Rates!$C$7:$E$116,3,FALSE)</f>
        <v>0</v>
      </c>
      <c r="R27" s="131">
        <v>0</v>
      </c>
      <c r="S27" s="131">
        <v>0</v>
      </c>
      <c r="T27" s="131">
        <v>0</v>
      </c>
      <c r="U27" s="131">
        <v>0</v>
      </c>
      <c r="V27" s="131">
        <v>0</v>
      </c>
      <c r="W27" s="131">
        <v>0</v>
      </c>
      <c r="X27" s="131">
        <v>0</v>
      </c>
      <c r="Y27" s="241">
        <f t="shared" ref="Y27" si="29">SUM(R27:X27)</f>
        <v>0</v>
      </c>
      <c r="AA27" s="5"/>
      <c r="AB27" s="5"/>
      <c r="AC27" s="5"/>
      <c r="AD27" s="5"/>
      <c r="AE27" s="5"/>
      <c r="AF27" s="5"/>
      <c r="AG27" s="5"/>
      <c r="AK27" s="283"/>
      <c r="AL27" s="283"/>
      <c r="AM27" s="283"/>
      <c r="AN27" s="283"/>
      <c r="AO27" s="289"/>
      <c r="AP27" s="289"/>
      <c r="AQ27" s="289"/>
      <c r="AR27" s="289"/>
      <c r="AS27" s="289"/>
      <c r="AT27" s="289"/>
      <c r="AU27" s="283"/>
    </row>
    <row r="28" spans="2:47" x14ac:dyDescent="0.25">
      <c r="B28" s="82"/>
      <c r="C28" s="21" t="s">
        <v>114</v>
      </c>
      <c r="D28" s="21" t="str">
        <f>INDEX(Unit_Rates!$C$7:$K$116,MATCH($C28,Unit_Rates!$C$7:$C$116,0),5)</f>
        <v>Subtransmission</v>
      </c>
      <c r="E28" s="21" t="str">
        <f>INDEX(Unit_Rates!$C$7:$K$116,MATCH($C28,Unit_Rates!$C$7:$C$116,0),6)</f>
        <v>Augmentation</v>
      </c>
      <c r="F28" s="21" t="str">
        <f t="shared" si="6"/>
        <v>SubtransmissionAugmentation</v>
      </c>
      <c r="G28" s="167">
        <f>INDEX(Unit_Rates!$C$7:$K$116,MATCH($C28,Unit_Rates!$C$7:$C$116,0),7)</f>
        <v>39.294999999999995</v>
      </c>
      <c r="H28" s="168"/>
      <c r="I28" s="120" t="s">
        <v>278</v>
      </c>
      <c r="J28" s="162"/>
      <c r="K28" s="169">
        <f>G28*H28</f>
        <v>0</v>
      </c>
      <c r="L28" s="170">
        <f t="shared" si="3"/>
        <v>0</v>
      </c>
      <c r="M28" s="171"/>
      <c r="N28" s="178">
        <f>$H28*INDEX(Unit_Rates!$C$7:$K$116,MATCH($C28,Unit_Rates!$C$7:$C$116,0),8)</f>
        <v>0</v>
      </c>
      <c r="O28" s="178">
        <f>$H28*INDEX(Unit_Rates!$C$7:$K$116,MATCH($C28,Unit_Rates!$C$7:$C$116,0),9)</f>
        <v>0</v>
      </c>
      <c r="P28" s="231">
        <f t="shared" si="4"/>
        <v>0</v>
      </c>
      <c r="Q28" s="250">
        <f>P28-H28*VLOOKUP(C28,Unit_Rates!$C$7:$E$116,3,FALSE)</f>
        <v>0</v>
      </c>
      <c r="R28" s="131">
        <v>0</v>
      </c>
      <c r="S28" s="131">
        <v>0</v>
      </c>
      <c r="T28" s="131">
        <v>0</v>
      </c>
      <c r="U28" s="131">
        <v>0</v>
      </c>
      <c r="V28" s="131">
        <v>0</v>
      </c>
      <c r="W28" s="131">
        <v>0</v>
      </c>
      <c r="X28" s="131">
        <v>0</v>
      </c>
      <c r="Y28" s="241">
        <f t="shared" si="5"/>
        <v>0</v>
      </c>
      <c r="AA28" s="5"/>
      <c r="AB28" s="5"/>
      <c r="AC28" s="5"/>
      <c r="AD28" s="5"/>
      <c r="AE28" s="5"/>
      <c r="AF28" s="5"/>
      <c r="AG28" s="5"/>
      <c r="AK28" s="283"/>
      <c r="AL28" s="283"/>
      <c r="AM28" s="283"/>
      <c r="AN28" s="283"/>
      <c r="AO28" s="289"/>
      <c r="AP28" s="289"/>
      <c r="AQ28" s="289"/>
      <c r="AR28" s="289"/>
      <c r="AS28" s="289"/>
      <c r="AT28" s="289"/>
      <c r="AU28" s="283"/>
    </row>
    <row r="29" spans="2:47" x14ac:dyDescent="0.25">
      <c r="B29" s="82"/>
      <c r="C29" s="21" t="s">
        <v>118</v>
      </c>
      <c r="D29" s="21" t="str">
        <f>INDEX(Unit_Rates!$C$7:$K$116,MATCH($C29,Unit_Rates!$C$7:$C$116,0),5)</f>
        <v>Subtransmission</v>
      </c>
      <c r="E29" s="21" t="str">
        <f>INDEX(Unit_Rates!$C$7:$K$116,MATCH($C29,Unit_Rates!$C$7:$C$116,0),6)</f>
        <v>Augmentation</v>
      </c>
      <c r="F29" s="21" t="str">
        <f t="shared" si="6"/>
        <v>SubtransmissionAugmentation</v>
      </c>
      <c r="G29" s="167">
        <f>INDEX(Unit_Rates!$C$7:$K$116,MATCH($C29,Unit_Rates!$C$7:$C$116,0),7)</f>
        <v>0</v>
      </c>
      <c r="H29" s="168"/>
      <c r="I29" s="120" t="s">
        <v>278</v>
      </c>
      <c r="J29" s="162"/>
      <c r="K29" s="169">
        <f>G29*H29</f>
        <v>0</v>
      </c>
      <c r="L29" s="170">
        <f t="shared" si="3"/>
        <v>0</v>
      </c>
      <c r="M29" s="171"/>
      <c r="N29" s="178">
        <f>$H29*INDEX(Unit_Rates!$C$7:$K$116,MATCH($C29,Unit_Rates!$C$7:$C$116,0),8)</f>
        <v>0</v>
      </c>
      <c r="O29" s="178">
        <f>$H29*INDEX(Unit_Rates!$C$7:$K$116,MATCH($C29,Unit_Rates!$C$7:$C$116,0),9)</f>
        <v>0</v>
      </c>
      <c r="P29" s="231">
        <f t="shared" si="4"/>
        <v>0</v>
      </c>
      <c r="Q29" s="250">
        <f>P29-H29*VLOOKUP(C29,Unit_Rates!$C$7:$E$116,3,FALSE)</f>
        <v>0</v>
      </c>
      <c r="R29" s="131">
        <v>0</v>
      </c>
      <c r="S29" s="131">
        <v>0</v>
      </c>
      <c r="T29" s="131">
        <v>0</v>
      </c>
      <c r="U29" s="131">
        <v>0</v>
      </c>
      <c r="V29" s="131">
        <v>0</v>
      </c>
      <c r="W29" s="131">
        <v>0</v>
      </c>
      <c r="X29" s="131">
        <v>0</v>
      </c>
      <c r="Y29" s="241">
        <f t="shared" si="5"/>
        <v>0</v>
      </c>
      <c r="AA29" s="5"/>
      <c r="AB29" s="5"/>
      <c r="AC29" s="5"/>
      <c r="AD29" s="5"/>
      <c r="AE29" s="5"/>
      <c r="AF29" s="5"/>
      <c r="AG29" s="5"/>
      <c r="AK29" s="283"/>
      <c r="AL29" s="288"/>
      <c r="AM29" s="283"/>
      <c r="AN29" s="283"/>
      <c r="AO29" s="289"/>
      <c r="AP29" s="289"/>
      <c r="AQ29" s="289"/>
      <c r="AR29" s="289"/>
      <c r="AS29" s="289"/>
      <c r="AT29" s="289"/>
      <c r="AU29" s="283"/>
    </row>
    <row r="30" spans="2:47" x14ac:dyDescent="0.25">
      <c r="B30" s="82"/>
      <c r="C30" s="21" t="s">
        <v>119</v>
      </c>
      <c r="D30" s="21" t="str">
        <f>INDEX(Unit_Rates!$C$7:$K$116,MATCH($C30,Unit_Rates!$C$7:$C$116,0),5)</f>
        <v>SCADA/Network control</v>
      </c>
      <c r="E30" s="21" t="str">
        <f>INDEX(Unit_Rates!$C$7:$K$116,MATCH($C30,Unit_Rates!$C$7:$C$116,0),6)</f>
        <v>Augmentation</v>
      </c>
      <c r="F30" s="21" t="str">
        <f t="shared" si="6"/>
        <v>SCADA/Network controlAugmentation</v>
      </c>
      <c r="G30" s="167">
        <f>INDEX(Unit_Rates!$C$7:$K$116,MATCH($C30,Unit_Rates!$C$7:$C$116,0),7)</f>
        <v>1158.2999999999995</v>
      </c>
      <c r="H30" s="168"/>
      <c r="I30" s="120" t="s">
        <v>278</v>
      </c>
      <c r="J30" s="162"/>
      <c r="K30" s="169">
        <f>G30*H30</f>
        <v>0</v>
      </c>
      <c r="L30" s="170">
        <f t="shared" si="3"/>
        <v>0</v>
      </c>
      <c r="M30" s="171"/>
      <c r="N30" s="178">
        <f>$H30*INDEX(Unit_Rates!$C$7:$K$116,MATCH($C30,Unit_Rates!$C$7:$C$116,0),8)</f>
        <v>0</v>
      </c>
      <c r="O30" s="178">
        <f>$H30*INDEX(Unit_Rates!$C$7:$K$116,MATCH($C30,Unit_Rates!$C$7:$C$116,0),9)</f>
        <v>0</v>
      </c>
      <c r="P30" s="231">
        <f t="shared" si="4"/>
        <v>0</v>
      </c>
      <c r="Q30" s="250">
        <f>P30-H30*VLOOKUP(C30,Unit_Rates!$C$7:$E$116,3,FALSE)</f>
        <v>0</v>
      </c>
      <c r="R30" s="131">
        <v>0</v>
      </c>
      <c r="S30" s="131">
        <v>0</v>
      </c>
      <c r="T30" s="131">
        <v>0</v>
      </c>
      <c r="U30" s="131">
        <v>0</v>
      </c>
      <c r="V30" s="131">
        <v>0</v>
      </c>
      <c r="W30" s="131">
        <v>0</v>
      </c>
      <c r="X30" s="131">
        <v>0</v>
      </c>
      <c r="Y30" s="241">
        <f t="shared" si="5"/>
        <v>0</v>
      </c>
      <c r="AA30" s="5"/>
      <c r="AB30" s="5"/>
      <c r="AC30" s="5"/>
      <c r="AD30" s="5"/>
      <c r="AE30" s="5"/>
      <c r="AF30" s="5"/>
      <c r="AG30" s="5"/>
      <c r="AK30" s="283"/>
      <c r="AL30" s="283"/>
      <c r="AM30" s="283"/>
      <c r="AN30" s="283"/>
      <c r="AO30" s="289"/>
      <c r="AP30" s="289"/>
      <c r="AQ30" s="289"/>
      <c r="AR30" s="289"/>
      <c r="AS30" s="289"/>
      <c r="AT30" s="289"/>
      <c r="AU30" s="283"/>
    </row>
    <row r="31" spans="2:47" x14ac:dyDescent="0.25">
      <c r="B31" s="82"/>
      <c r="C31" s="21" t="s">
        <v>121</v>
      </c>
      <c r="D31" s="21" t="str">
        <f>INDEX(Unit_Rates!$C$7:$K$116,MATCH($C31,Unit_Rates!$C$7:$C$116,0),5)</f>
        <v>Subtransmission</v>
      </c>
      <c r="E31" s="21" t="str">
        <f>INDEX(Unit_Rates!$C$7:$K$116,MATCH($C31,Unit_Rates!$C$7:$C$116,0),6)</f>
        <v>Augmentation</v>
      </c>
      <c r="F31" s="21" t="str">
        <f t="shared" si="6"/>
        <v>SubtransmissionAugmentation</v>
      </c>
      <c r="G31" s="167">
        <f>INDEX(Unit_Rates!$C$7:$K$116,MATCH($C31,Unit_Rates!$C$7:$C$116,0),7)</f>
        <v>0</v>
      </c>
      <c r="H31" s="168"/>
      <c r="I31" s="120" t="s">
        <v>278</v>
      </c>
      <c r="J31" s="162"/>
      <c r="K31" s="169">
        <f>G31*H31</f>
        <v>0</v>
      </c>
      <c r="L31" s="170">
        <f t="shared" si="3"/>
        <v>0</v>
      </c>
      <c r="M31" s="171"/>
      <c r="N31" s="178">
        <f>$H31*INDEX(Unit_Rates!$C$7:$K$116,MATCH($C31,Unit_Rates!$C$7:$C$116,0),8)</f>
        <v>0</v>
      </c>
      <c r="O31" s="178">
        <f>$H31*INDEX(Unit_Rates!$C$7:$K$116,MATCH($C31,Unit_Rates!$C$7:$C$116,0),9)</f>
        <v>0</v>
      </c>
      <c r="P31" s="231">
        <f t="shared" si="4"/>
        <v>0</v>
      </c>
      <c r="Q31" s="250">
        <f>P31-H31*VLOOKUP(C31,Unit_Rates!$C$7:$E$116,3,FALSE)</f>
        <v>0</v>
      </c>
      <c r="R31" s="131">
        <v>0</v>
      </c>
      <c r="S31" s="131">
        <v>0</v>
      </c>
      <c r="T31" s="131">
        <v>0</v>
      </c>
      <c r="U31" s="131">
        <v>0</v>
      </c>
      <c r="V31" s="131">
        <v>0</v>
      </c>
      <c r="W31" s="131">
        <v>0</v>
      </c>
      <c r="X31" s="131">
        <v>0</v>
      </c>
      <c r="Y31" s="241">
        <f t="shared" si="5"/>
        <v>0</v>
      </c>
      <c r="AK31" s="283"/>
      <c r="AL31" s="283"/>
      <c r="AM31" s="283"/>
      <c r="AN31" s="283"/>
      <c r="AO31" s="289"/>
      <c r="AP31" s="289"/>
      <c r="AQ31" s="289"/>
      <c r="AR31" s="289"/>
      <c r="AS31" s="289"/>
      <c r="AT31" s="289"/>
      <c r="AU31" s="283"/>
    </row>
    <row r="32" spans="2:47" x14ac:dyDescent="0.25">
      <c r="B32" s="82"/>
      <c r="C32" s="21" t="s">
        <v>123</v>
      </c>
      <c r="D32" s="21" t="str">
        <f>INDEX(Unit_Rates!$C$7:$K$116,MATCH($C32,Unit_Rates!$C$7:$C$116,0),5)</f>
        <v>Subtransmission</v>
      </c>
      <c r="E32" s="21" t="str">
        <f>INDEX(Unit_Rates!$C$7:$K$116,MATCH($C32,Unit_Rates!$C$7:$C$116,0),6)</f>
        <v>Augmentation</v>
      </c>
      <c r="F32" s="21" t="str">
        <f t="shared" si="6"/>
        <v>SubtransmissionAugmentation</v>
      </c>
      <c r="G32" s="167">
        <f>INDEX(Unit_Rates!$C$7:$K$116,MATCH($C32,Unit_Rates!$C$7:$C$116,0),7)</f>
        <v>1353.9999999999995</v>
      </c>
      <c r="H32" s="168"/>
      <c r="I32" s="120" t="s">
        <v>278</v>
      </c>
      <c r="J32" s="162"/>
      <c r="K32" s="169">
        <f t="shared" ref="K32:K51" si="30">G32*H32</f>
        <v>0</v>
      </c>
      <c r="L32" s="170">
        <f t="shared" si="3"/>
        <v>0</v>
      </c>
      <c r="M32" s="171"/>
      <c r="N32" s="178">
        <f>$H32*INDEX(Unit_Rates!$C$7:$K$116,MATCH($C32,Unit_Rates!$C$7:$C$116,0),8)</f>
        <v>0</v>
      </c>
      <c r="O32" s="178">
        <f>$H32*INDEX(Unit_Rates!$C$7:$K$116,MATCH($C32,Unit_Rates!$C$7:$C$116,0),9)</f>
        <v>0</v>
      </c>
      <c r="P32" s="231">
        <f t="shared" si="4"/>
        <v>0</v>
      </c>
      <c r="Q32" s="250">
        <f>P32-H32*VLOOKUP(C32,Unit_Rates!$C$7:$E$116,3,FALSE)</f>
        <v>0</v>
      </c>
      <c r="R32" s="131">
        <v>0</v>
      </c>
      <c r="S32" s="131">
        <v>0</v>
      </c>
      <c r="T32" s="131">
        <v>0</v>
      </c>
      <c r="U32" s="131">
        <v>0</v>
      </c>
      <c r="V32" s="131">
        <v>0</v>
      </c>
      <c r="W32" s="131">
        <v>0</v>
      </c>
      <c r="X32" s="131">
        <v>0</v>
      </c>
      <c r="Y32" s="241">
        <f t="shared" si="5"/>
        <v>0</v>
      </c>
      <c r="AK32" s="283"/>
      <c r="AL32" s="283"/>
      <c r="AM32" s="283"/>
      <c r="AN32" s="283"/>
      <c r="AO32" s="289"/>
      <c r="AP32" s="289"/>
      <c r="AQ32" s="289"/>
      <c r="AR32" s="289"/>
      <c r="AS32" s="289"/>
      <c r="AT32" s="289"/>
      <c r="AU32" s="283"/>
    </row>
    <row r="33" spans="2:47" x14ac:dyDescent="0.25">
      <c r="B33" s="82"/>
      <c r="C33" s="21" t="s">
        <v>125</v>
      </c>
      <c r="D33" s="21" t="str">
        <f>INDEX(Unit_Rates!$C$7:$K$116,MATCH($C33,Unit_Rates!$C$7:$C$116,0),5)</f>
        <v>Subtransmission</v>
      </c>
      <c r="E33" s="21" t="str">
        <f>INDEX(Unit_Rates!$C$7:$K$116,MATCH($C33,Unit_Rates!$C$7:$C$116,0),6)</f>
        <v>Augmentation</v>
      </c>
      <c r="F33" s="21" t="str">
        <f t="shared" si="6"/>
        <v>SubtransmissionAugmentation</v>
      </c>
      <c r="G33" s="167">
        <f>INDEX(Unit_Rates!$C$7:$K$116,MATCH($C33,Unit_Rates!$C$7:$C$116,0),7)</f>
        <v>1461.1162790697672</v>
      </c>
      <c r="H33" s="168"/>
      <c r="I33" s="120" t="s">
        <v>278</v>
      </c>
      <c r="J33" s="162"/>
      <c r="K33" s="169">
        <f t="shared" si="30"/>
        <v>0</v>
      </c>
      <c r="L33" s="170">
        <f t="shared" si="3"/>
        <v>0</v>
      </c>
      <c r="M33" s="171"/>
      <c r="N33" s="178">
        <f>$H33*INDEX(Unit_Rates!$C$7:$K$116,MATCH($C33,Unit_Rates!$C$7:$C$116,0),8)</f>
        <v>0</v>
      </c>
      <c r="O33" s="178">
        <f>$H33*INDEX(Unit_Rates!$C$7:$K$116,MATCH($C33,Unit_Rates!$C$7:$C$116,0),9)</f>
        <v>0</v>
      </c>
      <c r="P33" s="231">
        <f t="shared" si="4"/>
        <v>0</v>
      </c>
      <c r="Q33" s="250">
        <f>P33-H33*VLOOKUP(C33,Unit_Rates!$C$7:$E$116,3,FALSE)</f>
        <v>0</v>
      </c>
      <c r="R33" s="131">
        <v>0</v>
      </c>
      <c r="S33" s="131">
        <v>0</v>
      </c>
      <c r="T33" s="131">
        <v>0</v>
      </c>
      <c r="U33" s="131">
        <v>0</v>
      </c>
      <c r="V33" s="131">
        <v>0</v>
      </c>
      <c r="W33" s="131">
        <v>0</v>
      </c>
      <c r="X33" s="131">
        <v>0</v>
      </c>
      <c r="Y33" s="241">
        <f t="shared" si="5"/>
        <v>0</v>
      </c>
      <c r="AK33" s="283"/>
      <c r="AL33" s="283"/>
      <c r="AM33" s="283"/>
      <c r="AN33" s="283"/>
      <c r="AO33" s="289"/>
      <c r="AP33" s="289"/>
      <c r="AQ33" s="289"/>
      <c r="AR33" s="289"/>
      <c r="AS33" s="289"/>
      <c r="AT33" s="289"/>
      <c r="AU33" s="283"/>
    </row>
    <row r="34" spans="2:47" x14ac:dyDescent="0.25">
      <c r="B34" s="82"/>
      <c r="C34" s="21" t="s">
        <v>127</v>
      </c>
      <c r="D34" s="21" t="str">
        <f>INDEX(Unit_Rates!$C$7:$K$116,MATCH($C34,Unit_Rates!$C$7:$C$116,0),5)</f>
        <v>Subtransmission</v>
      </c>
      <c r="E34" s="21" t="str">
        <f>INDEX(Unit_Rates!$C$7:$K$116,MATCH($C34,Unit_Rates!$C$7:$C$116,0),6)</f>
        <v>Augmentation</v>
      </c>
      <c r="F34" s="21" t="str">
        <f t="shared" si="6"/>
        <v>SubtransmissionAugmentation</v>
      </c>
      <c r="G34" s="167">
        <f>INDEX(Unit_Rates!$C$7:$K$116,MATCH($C34,Unit_Rates!$C$7:$C$116,0),7)</f>
        <v>699.99999999999989</v>
      </c>
      <c r="H34" s="168"/>
      <c r="I34" s="120" t="s">
        <v>278</v>
      </c>
      <c r="J34" s="162"/>
      <c r="K34" s="169">
        <f t="shared" si="30"/>
        <v>0</v>
      </c>
      <c r="L34" s="170">
        <f t="shared" si="3"/>
        <v>0</v>
      </c>
      <c r="M34" s="171"/>
      <c r="N34" s="178">
        <f>$H34*INDEX(Unit_Rates!$C$7:$K$116,MATCH($C34,Unit_Rates!$C$7:$C$116,0),8)</f>
        <v>0</v>
      </c>
      <c r="O34" s="178">
        <f>$H34*INDEX(Unit_Rates!$C$7:$K$116,MATCH($C34,Unit_Rates!$C$7:$C$116,0),9)</f>
        <v>0</v>
      </c>
      <c r="P34" s="231">
        <f t="shared" si="4"/>
        <v>0</v>
      </c>
      <c r="Q34" s="250">
        <f>P34-H34*VLOOKUP(C34,Unit_Rates!$C$7:$E$116,3,FALSE)</f>
        <v>0</v>
      </c>
      <c r="R34" s="131">
        <v>0</v>
      </c>
      <c r="S34" s="131">
        <v>0</v>
      </c>
      <c r="T34" s="131">
        <v>0</v>
      </c>
      <c r="U34" s="131">
        <v>0</v>
      </c>
      <c r="V34" s="131">
        <v>0</v>
      </c>
      <c r="W34" s="131">
        <v>0</v>
      </c>
      <c r="X34" s="131">
        <v>0</v>
      </c>
      <c r="Y34" s="241">
        <f t="shared" si="5"/>
        <v>0</v>
      </c>
      <c r="AK34" s="283"/>
      <c r="AL34" s="283"/>
      <c r="AM34" s="283"/>
      <c r="AN34" s="283"/>
      <c r="AO34" s="289"/>
      <c r="AP34" s="289"/>
      <c r="AQ34" s="289"/>
      <c r="AR34" s="289"/>
      <c r="AS34" s="289"/>
      <c r="AT34" s="289"/>
      <c r="AU34" s="283"/>
    </row>
    <row r="35" spans="2:47" x14ac:dyDescent="0.25">
      <c r="B35" s="82"/>
      <c r="C35" s="21" t="s">
        <v>133</v>
      </c>
      <c r="D35" s="21" t="str">
        <f>INDEX(Unit_Rates!$C$7:$K$116,MATCH($C35,Unit_Rates!$C$7:$C$116,0),5)</f>
        <v>Subtransmission</v>
      </c>
      <c r="E35" s="21" t="str">
        <f>INDEX(Unit_Rates!$C$7:$K$116,MATCH($C35,Unit_Rates!$C$7:$C$116,0),6)</f>
        <v>Augmentation</v>
      </c>
      <c r="F35" s="21" t="str">
        <f t="shared" si="6"/>
        <v>SubtransmissionAugmentation</v>
      </c>
      <c r="G35" s="167">
        <f>INDEX(Unit_Rates!$C$7:$K$116,MATCH($C35,Unit_Rates!$C$7:$C$116,0),7)</f>
        <v>91.292437209302321</v>
      </c>
      <c r="H35" s="168"/>
      <c r="I35" s="120" t="s">
        <v>278</v>
      </c>
      <c r="J35" s="162"/>
      <c r="K35" s="169">
        <f t="shared" si="30"/>
        <v>0</v>
      </c>
      <c r="L35" s="170">
        <f t="shared" si="3"/>
        <v>0</v>
      </c>
      <c r="M35" s="171"/>
      <c r="N35" s="178">
        <f>$H35*INDEX(Unit_Rates!$C$7:$K$116,MATCH($C35,Unit_Rates!$C$7:$C$116,0),8)</f>
        <v>0</v>
      </c>
      <c r="O35" s="178">
        <f>$H35*INDEX(Unit_Rates!$C$7:$K$116,MATCH($C35,Unit_Rates!$C$7:$C$116,0),9)</f>
        <v>0</v>
      </c>
      <c r="P35" s="231">
        <f t="shared" si="4"/>
        <v>0</v>
      </c>
      <c r="Q35" s="250">
        <f>P35-H35*VLOOKUP(C35,Unit_Rates!$C$7:$E$116,3,FALSE)</f>
        <v>0</v>
      </c>
      <c r="R35" s="131">
        <v>0</v>
      </c>
      <c r="S35" s="131">
        <v>0</v>
      </c>
      <c r="T35" s="131">
        <v>0</v>
      </c>
      <c r="U35" s="131">
        <v>0</v>
      </c>
      <c r="V35" s="131">
        <v>0</v>
      </c>
      <c r="W35" s="131">
        <v>0</v>
      </c>
      <c r="X35" s="131">
        <v>0</v>
      </c>
      <c r="Y35" s="241">
        <f t="shared" si="5"/>
        <v>0</v>
      </c>
      <c r="AK35" s="283"/>
      <c r="AL35" s="283"/>
      <c r="AM35" s="283"/>
      <c r="AN35" s="283"/>
      <c r="AO35" s="289"/>
      <c r="AP35" s="289"/>
      <c r="AQ35" s="289"/>
      <c r="AR35" s="289"/>
      <c r="AS35" s="289"/>
      <c r="AT35" s="289"/>
      <c r="AU35" s="283"/>
    </row>
    <row r="36" spans="2:47" x14ac:dyDescent="0.25">
      <c r="B36" s="82"/>
      <c r="C36" s="21" t="s">
        <v>135</v>
      </c>
      <c r="D36" s="21" t="str">
        <f>INDEX(Unit_Rates!$C$7:$K$116,MATCH($C36,Unit_Rates!$C$7:$C$116,0),5)</f>
        <v>Subtransmission</v>
      </c>
      <c r="E36" s="21" t="str">
        <f>INDEX(Unit_Rates!$C$7:$K$116,MATCH($C36,Unit_Rates!$C$7:$C$116,0),6)</f>
        <v>Augmentation</v>
      </c>
      <c r="F36" s="21" t="str">
        <f t="shared" si="6"/>
        <v>SubtransmissionAugmentation</v>
      </c>
      <c r="G36" s="167">
        <f>INDEX(Unit_Rates!$C$7:$K$116,MATCH($C36,Unit_Rates!$C$7:$C$116,0),7)</f>
        <v>0</v>
      </c>
      <c r="H36" s="168"/>
      <c r="I36" s="120" t="s">
        <v>278</v>
      </c>
      <c r="J36" s="162"/>
      <c r="K36" s="169">
        <f t="shared" si="30"/>
        <v>0</v>
      </c>
      <c r="L36" s="170">
        <f t="shared" si="3"/>
        <v>0</v>
      </c>
      <c r="M36" s="171"/>
      <c r="N36" s="178">
        <f>$H36*INDEX(Unit_Rates!$C$7:$K$116,MATCH($C36,Unit_Rates!$C$7:$C$116,0),8)</f>
        <v>0</v>
      </c>
      <c r="O36" s="178">
        <f>$H36*INDEX(Unit_Rates!$C$7:$K$116,MATCH($C36,Unit_Rates!$C$7:$C$116,0),9)</f>
        <v>0</v>
      </c>
      <c r="P36" s="231">
        <f t="shared" si="4"/>
        <v>0</v>
      </c>
      <c r="Q36" s="250">
        <f>P36-H36*VLOOKUP(C36,Unit_Rates!$C$7:$E$116,3,FALSE)</f>
        <v>0</v>
      </c>
      <c r="R36" s="131">
        <v>0</v>
      </c>
      <c r="S36" s="131">
        <v>0</v>
      </c>
      <c r="T36" s="131">
        <v>0</v>
      </c>
      <c r="U36" s="131">
        <v>0</v>
      </c>
      <c r="V36" s="131">
        <v>0</v>
      </c>
      <c r="W36" s="131">
        <v>0</v>
      </c>
      <c r="X36" s="131">
        <v>0</v>
      </c>
      <c r="Y36" s="241">
        <f t="shared" si="5"/>
        <v>0</v>
      </c>
      <c r="AK36" s="283"/>
      <c r="AL36" s="283"/>
      <c r="AM36" s="283"/>
      <c r="AN36" s="283"/>
      <c r="AO36" s="289"/>
      <c r="AP36" s="289"/>
      <c r="AQ36" s="289"/>
      <c r="AR36" s="289"/>
      <c r="AS36" s="289"/>
      <c r="AT36" s="289"/>
      <c r="AU36" s="283"/>
    </row>
    <row r="37" spans="2:47" x14ac:dyDescent="0.25">
      <c r="B37" s="82"/>
      <c r="C37" s="21" t="s">
        <v>136</v>
      </c>
      <c r="D37" s="21" t="str">
        <f>INDEX(Unit_Rates!$C$7:$K$116,MATCH($C37,Unit_Rates!$C$7:$C$116,0),5)</f>
        <v>Subtransmission</v>
      </c>
      <c r="E37" s="21" t="str">
        <f>INDEX(Unit_Rates!$C$7:$K$116,MATCH($C37,Unit_Rates!$C$7:$C$116,0),6)</f>
        <v>Augmentation</v>
      </c>
      <c r="F37" s="21" t="str">
        <f t="shared" si="6"/>
        <v>SubtransmissionAugmentation</v>
      </c>
      <c r="G37" s="167">
        <f>INDEX(Unit_Rates!$C$7:$K$116,MATCH($C37,Unit_Rates!$C$7:$C$116,0),7)</f>
        <v>107.00599999999997</v>
      </c>
      <c r="H37" s="168"/>
      <c r="I37" s="120" t="s">
        <v>278</v>
      </c>
      <c r="J37" s="162"/>
      <c r="K37" s="169">
        <f t="shared" si="30"/>
        <v>0</v>
      </c>
      <c r="L37" s="170">
        <f t="shared" si="3"/>
        <v>0</v>
      </c>
      <c r="M37" s="171"/>
      <c r="N37" s="178">
        <f>$H37*INDEX(Unit_Rates!$C$7:$K$116,MATCH($C37,Unit_Rates!$C$7:$C$116,0),8)</f>
        <v>0</v>
      </c>
      <c r="O37" s="178">
        <f>$H37*INDEX(Unit_Rates!$C$7:$K$116,MATCH($C37,Unit_Rates!$C$7:$C$116,0),9)</f>
        <v>0</v>
      </c>
      <c r="P37" s="231">
        <f t="shared" si="4"/>
        <v>0</v>
      </c>
      <c r="Q37" s="250">
        <f>P37-H37*VLOOKUP(C37,Unit_Rates!$C$7:$E$116,3,FALSE)</f>
        <v>0</v>
      </c>
      <c r="R37" s="131">
        <v>0</v>
      </c>
      <c r="S37" s="131">
        <v>0</v>
      </c>
      <c r="T37" s="131">
        <v>0</v>
      </c>
      <c r="U37" s="131">
        <v>0</v>
      </c>
      <c r="V37" s="131">
        <v>0</v>
      </c>
      <c r="W37" s="131">
        <v>0</v>
      </c>
      <c r="X37" s="131">
        <v>0</v>
      </c>
      <c r="Y37" s="241">
        <f t="shared" si="5"/>
        <v>0</v>
      </c>
      <c r="AK37" s="283"/>
      <c r="AL37" s="283"/>
      <c r="AM37" s="283"/>
      <c r="AN37" s="283"/>
      <c r="AO37" s="289"/>
      <c r="AP37" s="289"/>
      <c r="AQ37" s="289"/>
      <c r="AR37" s="289"/>
      <c r="AS37" s="289"/>
      <c r="AT37" s="289"/>
      <c r="AU37" s="283"/>
    </row>
    <row r="38" spans="2:47" x14ac:dyDescent="0.25">
      <c r="B38" s="82"/>
      <c r="C38" s="21" t="s">
        <v>138</v>
      </c>
      <c r="D38" s="21" t="str">
        <f>INDEX(Unit_Rates!$C$7:$K$116,MATCH($C38,Unit_Rates!$C$7:$C$116,0),5)</f>
        <v>Subtransmission</v>
      </c>
      <c r="E38" s="21" t="str">
        <f>INDEX(Unit_Rates!$C$7:$K$116,MATCH($C38,Unit_Rates!$C$7:$C$116,0),6)</f>
        <v>Augmentation</v>
      </c>
      <c r="F38" s="21" t="str">
        <f t="shared" si="6"/>
        <v>SubtransmissionAugmentation</v>
      </c>
      <c r="G38" s="167">
        <f>INDEX(Unit_Rates!$C$7:$K$116,MATCH($C38,Unit_Rates!$C$7:$C$116,0),7)</f>
        <v>7.6639999999999979</v>
      </c>
      <c r="H38" s="168"/>
      <c r="I38" s="120" t="s">
        <v>278</v>
      </c>
      <c r="J38" s="162"/>
      <c r="K38" s="169">
        <f t="shared" si="30"/>
        <v>0</v>
      </c>
      <c r="L38" s="170">
        <f t="shared" si="3"/>
        <v>0</v>
      </c>
      <c r="M38" s="171"/>
      <c r="N38" s="178">
        <f>$H38*INDEX(Unit_Rates!$C$7:$K$116,MATCH($C38,Unit_Rates!$C$7:$C$116,0),8)</f>
        <v>0</v>
      </c>
      <c r="O38" s="178">
        <f>$H38*INDEX(Unit_Rates!$C$7:$K$116,MATCH($C38,Unit_Rates!$C$7:$C$116,0),9)</f>
        <v>0</v>
      </c>
      <c r="P38" s="231">
        <f t="shared" si="4"/>
        <v>0</v>
      </c>
      <c r="Q38" s="250">
        <f>P38-H38*VLOOKUP(C38,Unit_Rates!$C$7:$E$116,3,FALSE)</f>
        <v>0</v>
      </c>
      <c r="R38" s="131">
        <v>0</v>
      </c>
      <c r="S38" s="131">
        <v>0</v>
      </c>
      <c r="T38" s="131">
        <v>0</v>
      </c>
      <c r="U38" s="131">
        <v>0</v>
      </c>
      <c r="V38" s="131">
        <v>0</v>
      </c>
      <c r="W38" s="131">
        <v>0</v>
      </c>
      <c r="X38" s="131">
        <v>0</v>
      </c>
      <c r="Y38" s="241">
        <f t="shared" si="5"/>
        <v>0</v>
      </c>
      <c r="AK38" s="283"/>
      <c r="AL38" s="283"/>
      <c r="AM38" s="288"/>
      <c r="AN38" s="283"/>
      <c r="AO38" s="289"/>
      <c r="AP38" s="289"/>
      <c r="AQ38" s="289"/>
      <c r="AR38" s="289"/>
      <c r="AS38" s="289"/>
      <c r="AT38" s="289"/>
      <c r="AU38" s="283"/>
    </row>
    <row r="39" spans="2:47" x14ac:dyDescent="0.25">
      <c r="B39" s="82"/>
      <c r="C39" s="21" t="s">
        <v>142</v>
      </c>
      <c r="D39" s="21" t="str">
        <f>INDEX(Unit_Rates!$C$7:$K$116,MATCH($C39,Unit_Rates!$C$7:$C$116,0),5)</f>
        <v>Subtransmission</v>
      </c>
      <c r="E39" s="21" t="str">
        <f>INDEX(Unit_Rates!$C$7:$K$116,MATCH($C39,Unit_Rates!$C$7:$C$116,0),6)</f>
        <v>Augmentation</v>
      </c>
      <c r="F39" s="21" t="str">
        <f t="shared" si="6"/>
        <v>SubtransmissionAugmentation</v>
      </c>
      <c r="G39" s="167">
        <f>INDEX(Unit_Rates!$C$7:$K$116,MATCH($C39,Unit_Rates!$C$7:$C$116,0),7)</f>
        <v>27.162999999999993</v>
      </c>
      <c r="H39" s="168"/>
      <c r="I39" s="120" t="s">
        <v>278</v>
      </c>
      <c r="J39" s="162"/>
      <c r="K39" s="169">
        <f t="shared" si="30"/>
        <v>0</v>
      </c>
      <c r="L39" s="170">
        <f t="shared" si="3"/>
        <v>0</v>
      </c>
      <c r="M39" s="171"/>
      <c r="N39" s="178">
        <f>$H39*INDEX(Unit_Rates!$C$7:$K$116,MATCH($C39,Unit_Rates!$C$7:$C$116,0),8)</f>
        <v>0</v>
      </c>
      <c r="O39" s="178">
        <f>$H39*INDEX(Unit_Rates!$C$7:$K$116,MATCH($C39,Unit_Rates!$C$7:$C$116,0),9)</f>
        <v>0</v>
      </c>
      <c r="P39" s="231">
        <f t="shared" si="4"/>
        <v>0</v>
      </c>
      <c r="Q39" s="250">
        <f>P39-H39*VLOOKUP(C39,Unit_Rates!$C$7:$E$116,3,FALSE)</f>
        <v>0</v>
      </c>
      <c r="R39" s="131">
        <v>0</v>
      </c>
      <c r="S39" s="131">
        <v>0</v>
      </c>
      <c r="T39" s="131">
        <v>0</v>
      </c>
      <c r="U39" s="131">
        <v>0</v>
      </c>
      <c r="V39" s="131">
        <v>0</v>
      </c>
      <c r="W39" s="131">
        <v>0</v>
      </c>
      <c r="X39" s="131">
        <v>0</v>
      </c>
      <c r="Y39" s="241">
        <f t="shared" si="5"/>
        <v>0</v>
      </c>
      <c r="AK39" s="283"/>
      <c r="AL39" s="283"/>
      <c r="AM39" s="283"/>
      <c r="AN39" s="283"/>
      <c r="AO39" s="289"/>
      <c r="AP39" s="289"/>
      <c r="AQ39" s="289"/>
      <c r="AR39" s="289"/>
      <c r="AS39" s="289"/>
      <c r="AT39" s="289"/>
      <c r="AU39" s="283"/>
    </row>
    <row r="40" spans="2:47" x14ac:dyDescent="0.25">
      <c r="B40" s="82"/>
      <c r="C40" s="21" t="s">
        <v>143</v>
      </c>
      <c r="D40" s="21" t="str">
        <f>INDEX(Unit_Rates!$C$7:$K$116,MATCH($C40,Unit_Rates!$C$7:$C$116,0),5)</f>
        <v>Subtransmission</v>
      </c>
      <c r="E40" s="21" t="str">
        <f>INDEX(Unit_Rates!$C$7:$K$116,MATCH($C40,Unit_Rates!$C$7:$C$116,0),6)</f>
        <v>Augmentation</v>
      </c>
      <c r="F40" s="21" t="str">
        <f t="shared" si="6"/>
        <v>SubtransmissionAugmentation</v>
      </c>
      <c r="G40" s="167">
        <f>INDEX(Unit_Rates!$C$7:$K$116,MATCH($C40,Unit_Rates!$C$7:$C$116,0),7)</f>
        <v>0</v>
      </c>
      <c r="H40" s="168"/>
      <c r="I40" s="120" t="s">
        <v>278</v>
      </c>
      <c r="J40" s="162"/>
      <c r="K40" s="169">
        <f t="shared" si="30"/>
        <v>0</v>
      </c>
      <c r="L40" s="170">
        <f t="shared" si="3"/>
        <v>0</v>
      </c>
      <c r="M40" s="171"/>
      <c r="N40" s="178">
        <f>$H40*INDEX(Unit_Rates!$C$7:$K$116,MATCH($C40,Unit_Rates!$C$7:$C$116,0),8)</f>
        <v>0</v>
      </c>
      <c r="O40" s="178">
        <f>$H40*INDEX(Unit_Rates!$C$7:$K$116,MATCH($C40,Unit_Rates!$C$7:$C$116,0),9)</f>
        <v>0</v>
      </c>
      <c r="P40" s="231">
        <f t="shared" si="4"/>
        <v>0</v>
      </c>
      <c r="Q40" s="250">
        <f>P40-H40*VLOOKUP(C40,Unit_Rates!$C$7:$E$116,3,FALSE)</f>
        <v>0</v>
      </c>
      <c r="R40" s="131">
        <v>0</v>
      </c>
      <c r="S40" s="131">
        <v>0</v>
      </c>
      <c r="T40" s="131">
        <v>0</v>
      </c>
      <c r="U40" s="131">
        <v>0</v>
      </c>
      <c r="V40" s="131">
        <v>0</v>
      </c>
      <c r="W40" s="131">
        <v>0</v>
      </c>
      <c r="X40" s="131">
        <v>0</v>
      </c>
      <c r="Y40" s="241">
        <f t="shared" si="5"/>
        <v>0</v>
      </c>
      <c r="AL40" s="333"/>
      <c r="AU40" s="283"/>
    </row>
    <row r="41" spans="2:47" x14ac:dyDescent="0.25">
      <c r="B41" s="82"/>
      <c r="C41" s="21" t="s">
        <v>141</v>
      </c>
      <c r="D41" s="21" t="str">
        <f>INDEX(Unit_Rates!$C$7:$K$116,MATCH($C41,Unit_Rates!$C$7:$C$116,0),5)</f>
        <v>Subtransmission</v>
      </c>
      <c r="E41" s="21" t="str">
        <f>INDEX(Unit_Rates!$C$7:$K$116,MATCH($C41,Unit_Rates!$C$7:$C$116,0),6)</f>
        <v>Augmentation</v>
      </c>
      <c r="F41" s="21" t="str">
        <f t="shared" si="6"/>
        <v>SubtransmissionAugmentation</v>
      </c>
      <c r="G41" s="167">
        <f>INDEX(Unit_Rates!$C$7:$K$116,MATCH($C41,Unit_Rates!$C$7:$C$116,0),7)</f>
        <v>0</v>
      </c>
      <c r="H41" s="168"/>
      <c r="I41" s="120" t="s">
        <v>278</v>
      </c>
      <c r="J41" s="162"/>
      <c r="K41" s="169">
        <f t="shared" si="30"/>
        <v>0</v>
      </c>
      <c r="L41" s="170">
        <f t="shared" si="3"/>
        <v>0</v>
      </c>
      <c r="M41" s="171"/>
      <c r="N41" s="178">
        <f>$H41*INDEX(Unit_Rates!$C$7:$K$116,MATCH($C41,Unit_Rates!$C$7:$C$116,0),8)</f>
        <v>0</v>
      </c>
      <c r="O41" s="178">
        <f>$H41*INDEX(Unit_Rates!$C$7:$K$116,MATCH($C41,Unit_Rates!$C$7:$C$116,0),9)</f>
        <v>0</v>
      </c>
      <c r="P41" s="231">
        <f t="shared" si="4"/>
        <v>0</v>
      </c>
      <c r="Q41" s="250">
        <f>P41-H41*VLOOKUP(C41,Unit_Rates!$C$7:$E$116,3,FALSE)</f>
        <v>0</v>
      </c>
      <c r="R41" s="131">
        <v>0</v>
      </c>
      <c r="S41" s="131">
        <v>0</v>
      </c>
      <c r="T41" s="131">
        <v>0</v>
      </c>
      <c r="U41" s="131">
        <v>0</v>
      </c>
      <c r="V41" s="131">
        <v>0</v>
      </c>
      <c r="W41" s="131">
        <v>0</v>
      </c>
      <c r="X41" s="131">
        <v>0</v>
      </c>
      <c r="Y41" s="241">
        <f t="shared" si="5"/>
        <v>0</v>
      </c>
      <c r="AU41" s="283"/>
    </row>
    <row r="42" spans="2:47" x14ac:dyDescent="0.25">
      <c r="B42" s="82"/>
      <c r="C42" s="21" t="s">
        <v>145</v>
      </c>
      <c r="D42" s="21" t="str">
        <f>INDEX(Unit_Rates!$C$7:$K$116,MATCH($C42,Unit_Rates!$C$7:$C$116,0),5)</f>
        <v>Subtransmission</v>
      </c>
      <c r="E42" s="21" t="str">
        <f>INDEX(Unit_Rates!$C$7:$K$116,MATCH($C42,Unit_Rates!$C$7:$C$116,0),6)</f>
        <v>Augmentation</v>
      </c>
      <c r="F42" s="21" t="str">
        <f t="shared" si="6"/>
        <v>SubtransmissionAugmentation</v>
      </c>
      <c r="G42" s="167">
        <f>INDEX(Unit_Rates!$C$7:$K$116,MATCH($C42,Unit_Rates!$C$7:$C$116,0),7)</f>
        <v>0.61999999999999977</v>
      </c>
      <c r="H42" s="168"/>
      <c r="I42" s="120" t="s">
        <v>278</v>
      </c>
      <c r="J42" s="162"/>
      <c r="K42" s="169">
        <f t="shared" si="30"/>
        <v>0</v>
      </c>
      <c r="L42" s="170">
        <f t="shared" si="3"/>
        <v>0</v>
      </c>
      <c r="M42" s="171"/>
      <c r="N42" s="178">
        <f>$H42*INDEX(Unit_Rates!$C$7:$K$116,MATCH($C42,Unit_Rates!$C$7:$C$116,0),8)</f>
        <v>0</v>
      </c>
      <c r="O42" s="178">
        <f>$H42*INDEX(Unit_Rates!$C$7:$K$116,MATCH($C42,Unit_Rates!$C$7:$C$116,0),9)</f>
        <v>0</v>
      </c>
      <c r="P42" s="231">
        <f t="shared" si="4"/>
        <v>0</v>
      </c>
      <c r="Q42" s="250">
        <f>P42-H42*VLOOKUP(C42,Unit_Rates!$C$7:$E$116,3,FALSE)</f>
        <v>0</v>
      </c>
      <c r="R42" s="131">
        <v>0</v>
      </c>
      <c r="S42" s="131">
        <v>0</v>
      </c>
      <c r="T42" s="131">
        <v>0</v>
      </c>
      <c r="U42" s="131">
        <v>0</v>
      </c>
      <c r="V42" s="131">
        <v>0</v>
      </c>
      <c r="W42" s="131">
        <v>0</v>
      </c>
      <c r="X42" s="131">
        <v>0</v>
      </c>
      <c r="Y42" s="241">
        <f t="shared" si="5"/>
        <v>0</v>
      </c>
      <c r="AK42" s="283"/>
      <c r="AL42" s="283"/>
      <c r="AM42" s="283"/>
      <c r="AN42" s="283"/>
      <c r="AO42" s="289"/>
      <c r="AP42" s="289"/>
      <c r="AQ42" s="289"/>
      <c r="AR42" s="289"/>
      <c r="AS42" s="289"/>
      <c r="AT42" s="289"/>
      <c r="AU42" s="283"/>
    </row>
    <row r="43" spans="2:47" x14ac:dyDescent="0.25">
      <c r="B43" s="82"/>
      <c r="C43" s="21" t="s">
        <v>165</v>
      </c>
      <c r="D43" s="21" t="str">
        <f>INDEX(Unit_Rates!$C$7:$K$116,MATCH($C43,Unit_Rates!$C$7:$C$116,0),5)</f>
        <v>Subtransmission</v>
      </c>
      <c r="E43" s="21" t="str">
        <f>INDEX(Unit_Rates!$C$7:$K$116,MATCH($C43,Unit_Rates!$C$7:$C$116,0),6)</f>
        <v>Augmentation</v>
      </c>
      <c r="F43" s="21" t="str">
        <f t="shared" si="6"/>
        <v>SubtransmissionAugmentation</v>
      </c>
      <c r="G43" s="167">
        <f>INDEX(Unit_Rates!$C$7:$K$116,MATCH($C43,Unit_Rates!$C$7:$C$116,0),7)</f>
        <v>0</v>
      </c>
      <c r="H43" s="168"/>
      <c r="I43" s="120" t="s">
        <v>278</v>
      </c>
      <c r="J43" s="162"/>
      <c r="K43" s="169">
        <f t="shared" si="30"/>
        <v>0</v>
      </c>
      <c r="L43" s="170">
        <f t="shared" si="3"/>
        <v>0</v>
      </c>
      <c r="M43" s="171"/>
      <c r="N43" s="178">
        <f>$H43*INDEX(Unit_Rates!$C$7:$K$116,MATCH($C43,Unit_Rates!$C$7:$C$116,0),8)</f>
        <v>0</v>
      </c>
      <c r="O43" s="178">
        <f>$H43*INDEX(Unit_Rates!$C$7:$K$116,MATCH($C43,Unit_Rates!$C$7:$C$116,0),9)</f>
        <v>0</v>
      </c>
      <c r="P43" s="231">
        <f t="shared" si="4"/>
        <v>0</v>
      </c>
      <c r="Q43" s="250">
        <f>P43-H43*VLOOKUP(C43,Unit_Rates!$C$7:$E$116,3,FALSE)</f>
        <v>0</v>
      </c>
      <c r="R43" s="131">
        <v>0</v>
      </c>
      <c r="S43" s="131">
        <v>0</v>
      </c>
      <c r="T43" s="131">
        <v>0</v>
      </c>
      <c r="U43" s="131">
        <v>0</v>
      </c>
      <c r="V43" s="131">
        <v>0</v>
      </c>
      <c r="W43" s="131">
        <v>0</v>
      </c>
      <c r="X43" s="131">
        <v>0</v>
      </c>
      <c r="Y43" s="241">
        <f t="shared" si="5"/>
        <v>0</v>
      </c>
      <c r="AK43" s="283"/>
      <c r="AL43" s="283"/>
      <c r="AM43" s="283"/>
      <c r="AN43" s="283"/>
      <c r="AO43" s="289"/>
      <c r="AP43" s="289"/>
      <c r="AQ43" s="289"/>
      <c r="AR43" s="289"/>
      <c r="AS43" s="289"/>
      <c r="AT43" s="289"/>
      <c r="AU43" s="283"/>
    </row>
    <row r="44" spans="2:47" x14ac:dyDescent="0.25">
      <c r="B44" s="82"/>
      <c r="C44" s="21" t="s">
        <v>147</v>
      </c>
      <c r="D44" s="21" t="str">
        <f>INDEX(Unit_Rates!$C$7:$K$116,MATCH($C44,Unit_Rates!$C$7:$C$116,0),5)</f>
        <v>Subtransmission</v>
      </c>
      <c r="E44" s="21" t="str">
        <f>INDEX(Unit_Rates!$C$7:$K$116,MATCH($C44,Unit_Rates!$C$7:$C$116,0),6)</f>
        <v>Augmentation</v>
      </c>
      <c r="F44" s="21" t="str">
        <f t="shared" si="6"/>
        <v>SubtransmissionAugmentation</v>
      </c>
      <c r="G44" s="167">
        <f>INDEX(Unit_Rates!$C$7:$K$116,MATCH($C44,Unit_Rates!$C$7:$C$116,0),7)</f>
        <v>93.853999999999985</v>
      </c>
      <c r="H44" s="168"/>
      <c r="I44" s="120" t="s">
        <v>278</v>
      </c>
      <c r="J44" s="162"/>
      <c r="K44" s="169">
        <f t="shared" si="30"/>
        <v>0</v>
      </c>
      <c r="L44" s="170">
        <f t="shared" si="3"/>
        <v>0</v>
      </c>
      <c r="M44" s="171"/>
      <c r="N44" s="178">
        <f>$H44*INDEX(Unit_Rates!$C$7:$K$116,MATCH($C44,Unit_Rates!$C$7:$C$116,0),8)</f>
        <v>0</v>
      </c>
      <c r="O44" s="178">
        <f>$H44*INDEX(Unit_Rates!$C$7:$K$116,MATCH($C44,Unit_Rates!$C$7:$C$116,0),9)</f>
        <v>0</v>
      </c>
      <c r="P44" s="231">
        <f t="shared" si="4"/>
        <v>0</v>
      </c>
      <c r="Q44" s="250">
        <f>P44-H44*VLOOKUP(C44,Unit_Rates!$C$7:$E$116,3,FALSE)</f>
        <v>0</v>
      </c>
      <c r="R44" s="131">
        <v>0</v>
      </c>
      <c r="S44" s="131">
        <v>0</v>
      </c>
      <c r="T44" s="131">
        <v>0</v>
      </c>
      <c r="U44" s="131">
        <v>0</v>
      </c>
      <c r="V44" s="131">
        <v>0</v>
      </c>
      <c r="W44" s="131">
        <v>0</v>
      </c>
      <c r="X44" s="131">
        <v>0</v>
      </c>
      <c r="Y44" s="241">
        <f t="shared" si="5"/>
        <v>0</v>
      </c>
      <c r="AK44" s="283"/>
      <c r="AL44" s="283"/>
      <c r="AM44" s="283"/>
      <c r="AN44" s="283"/>
      <c r="AO44" s="289"/>
      <c r="AP44" s="289"/>
      <c r="AQ44" s="289"/>
      <c r="AR44" s="289"/>
      <c r="AS44" s="289"/>
      <c r="AT44" s="289"/>
      <c r="AU44" s="283"/>
    </row>
    <row r="45" spans="2:47" x14ac:dyDescent="0.25">
      <c r="B45" s="82"/>
      <c r="C45" s="21" t="s">
        <v>377</v>
      </c>
      <c r="D45" s="21" t="str">
        <f>INDEX(Unit_Rates!$C$7:$K$116,MATCH($C45,Unit_Rates!$C$7:$C$116,0),5)</f>
        <v>Subtransmission</v>
      </c>
      <c r="E45" s="21" t="str">
        <f>INDEX(Unit_Rates!$C$7:$K$116,MATCH($C45,Unit_Rates!$C$7:$C$116,0),6)</f>
        <v>Augmentation</v>
      </c>
      <c r="F45" s="21" t="str">
        <f t="shared" si="6"/>
        <v>SubtransmissionAugmentation</v>
      </c>
      <c r="G45" s="167">
        <f>INDEX(Unit_Rates!$C$7:$K$116,MATCH($C45,Unit_Rates!$C$7:$C$116,0),7)</f>
        <v>109.17591463414668</v>
      </c>
      <c r="H45" s="168"/>
      <c r="I45" s="120" t="s">
        <v>278</v>
      </c>
      <c r="J45" s="162"/>
      <c r="K45" s="169">
        <f t="shared" si="30"/>
        <v>0</v>
      </c>
      <c r="L45" s="170">
        <f t="shared" si="3"/>
        <v>0</v>
      </c>
      <c r="M45" s="171"/>
      <c r="N45" s="178">
        <f>$H45*INDEX(Unit_Rates!$C$7:$K$116,MATCH($C45,Unit_Rates!$C$7:$C$116,0),8)</f>
        <v>0</v>
      </c>
      <c r="O45" s="178">
        <f>$H45*INDEX(Unit_Rates!$C$7:$K$116,MATCH($C45,Unit_Rates!$C$7:$C$116,0),9)</f>
        <v>0</v>
      </c>
      <c r="P45" s="231">
        <f t="shared" si="4"/>
        <v>0</v>
      </c>
      <c r="Q45" s="250">
        <f>P45-H45*VLOOKUP(C45,Unit_Rates!$C$7:$E$116,3,FALSE)</f>
        <v>0</v>
      </c>
      <c r="R45" s="131">
        <v>0</v>
      </c>
      <c r="S45" s="131">
        <v>0</v>
      </c>
      <c r="T45" s="131">
        <v>0</v>
      </c>
      <c r="U45" s="131">
        <v>0</v>
      </c>
      <c r="V45" s="131">
        <v>0</v>
      </c>
      <c r="W45" s="131">
        <v>0</v>
      </c>
      <c r="X45" s="131">
        <v>0</v>
      </c>
      <c r="Y45" s="241">
        <f t="shared" si="5"/>
        <v>0</v>
      </c>
      <c r="AK45" s="283"/>
      <c r="AL45" s="283"/>
      <c r="AM45" s="288"/>
      <c r="AN45" s="283"/>
      <c r="AO45" s="289"/>
      <c r="AP45" s="289"/>
      <c r="AQ45" s="289"/>
      <c r="AR45" s="289"/>
      <c r="AS45" s="289"/>
      <c r="AT45" s="289"/>
      <c r="AU45" s="283"/>
    </row>
    <row r="46" spans="2:47" x14ac:dyDescent="0.25">
      <c r="B46" s="82"/>
      <c r="C46" s="21" t="s">
        <v>153</v>
      </c>
      <c r="D46" s="21" t="str">
        <f>INDEX(Unit_Rates!$C$7:$K$116,MATCH($C46,Unit_Rates!$C$7:$C$116,0),5)</f>
        <v>Subtransmission</v>
      </c>
      <c r="E46" s="21" t="str">
        <f>INDEX(Unit_Rates!$C$7:$K$116,MATCH($C46,Unit_Rates!$C$7:$C$116,0),6)</f>
        <v>Augmentation</v>
      </c>
      <c r="F46" s="21" t="str">
        <f t="shared" si="6"/>
        <v>SubtransmissionAugmentation</v>
      </c>
      <c r="G46" s="167">
        <f>INDEX(Unit_Rates!$C$7:$K$116,MATCH($C46,Unit_Rates!$C$7:$C$116,0),7)</f>
        <v>227.62999999999997</v>
      </c>
      <c r="H46" s="168"/>
      <c r="I46" s="120" t="s">
        <v>278</v>
      </c>
      <c r="J46" s="162"/>
      <c r="K46" s="169">
        <f t="shared" si="30"/>
        <v>0</v>
      </c>
      <c r="L46" s="170">
        <f t="shared" si="3"/>
        <v>0</v>
      </c>
      <c r="M46" s="171"/>
      <c r="N46" s="178">
        <f>$H46*INDEX(Unit_Rates!$C$7:$K$116,MATCH($C46,Unit_Rates!$C$7:$C$116,0),8)</f>
        <v>0</v>
      </c>
      <c r="O46" s="178">
        <f>$H46*INDEX(Unit_Rates!$C$7:$K$116,MATCH($C46,Unit_Rates!$C$7:$C$116,0),9)</f>
        <v>0</v>
      </c>
      <c r="P46" s="231">
        <f t="shared" si="4"/>
        <v>0</v>
      </c>
      <c r="Q46" s="250">
        <f>P46-H46*VLOOKUP(C46,Unit_Rates!$C$7:$E$116,3,FALSE)</f>
        <v>0</v>
      </c>
      <c r="R46" s="131">
        <v>0</v>
      </c>
      <c r="S46" s="131">
        <v>0</v>
      </c>
      <c r="T46" s="131">
        <v>0</v>
      </c>
      <c r="U46" s="131">
        <v>0</v>
      </c>
      <c r="V46" s="131">
        <v>0</v>
      </c>
      <c r="W46" s="131">
        <v>0</v>
      </c>
      <c r="X46" s="131">
        <v>0</v>
      </c>
      <c r="Y46" s="241">
        <f t="shared" si="5"/>
        <v>0</v>
      </c>
      <c r="AK46" s="283"/>
      <c r="AL46" s="283"/>
      <c r="AM46" s="283"/>
      <c r="AN46" s="283"/>
      <c r="AO46" s="289"/>
      <c r="AP46" s="289"/>
      <c r="AQ46" s="289"/>
      <c r="AR46" s="289"/>
      <c r="AS46" s="289"/>
      <c r="AT46" s="289"/>
      <c r="AU46" s="283"/>
    </row>
    <row r="47" spans="2:47" x14ac:dyDescent="0.25">
      <c r="B47" s="82"/>
      <c r="C47" s="21" t="s">
        <v>157</v>
      </c>
      <c r="D47" s="21" t="str">
        <f>INDEX(Unit_Rates!$C$7:$K$116,MATCH($C47,Unit_Rates!$C$7:$C$116,0),5)</f>
        <v>Subtransmission</v>
      </c>
      <c r="E47" s="21" t="str">
        <f>INDEX(Unit_Rates!$C$7:$K$116,MATCH($C47,Unit_Rates!$C$7:$C$116,0),6)</f>
        <v>Augmentation</v>
      </c>
      <c r="F47" s="21" t="str">
        <f t="shared" si="6"/>
        <v>SubtransmissionAugmentation</v>
      </c>
      <c r="G47" s="167">
        <f>INDEX(Unit_Rates!$C$7:$K$116,MATCH($C47,Unit_Rates!$C$7:$C$116,0),7)</f>
        <v>369.03899999999987</v>
      </c>
      <c r="H47" s="168"/>
      <c r="I47" s="120" t="s">
        <v>278</v>
      </c>
      <c r="J47" s="162"/>
      <c r="K47" s="169">
        <f t="shared" si="30"/>
        <v>0</v>
      </c>
      <c r="L47" s="170">
        <f t="shared" si="3"/>
        <v>0</v>
      </c>
      <c r="M47" s="171"/>
      <c r="N47" s="178">
        <f>$H47*INDEX(Unit_Rates!$C$7:$K$116,MATCH($C47,Unit_Rates!$C$7:$C$116,0),8)</f>
        <v>0</v>
      </c>
      <c r="O47" s="178">
        <f>$H47*INDEX(Unit_Rates!$C$7:$K$116,MATCH($C47,Unit_Rates!$C$7:$C$116,0),9)</f>
        <v>0</v>
      </c>
      <c r="P47" s="231">
        <f t="shared" si="4"/>
        <v>0</v>
      </c>
      <c r="Q47" s="250">
        <f>P47-H47*VLOOKUP(C47,Unit_Rates!$C$7:$E$116,3,FALSE)</f>
        <v>0</v>
      </c>
      <c r="R47" s="131">
        <v>0</v>
      </c>
      <c r="S47" s="131">
        <v>0</v>
      </c>
      <c r="T47" s="131">
        <v>0</v>
      </c>
      <c r="U47" s="131">
        <v>0</v>
      </c>
      <c r="V47" s="131">
        <v>0</v>
      </c>
      <c r="W47" s="131">
        <v>0</v>
      </c>
      <c r="X47" s="131">
        <v>0</v>
      </c>
      <c r="Y47" s="241">
        <f t="shared" si="5"/>
        <v>0</v>
      </c>
      <c r="AK47" s="283"/>
      <c r="AL47" s="288"/>
      <c r="AM47" s="283"/>
      <c r="AN47" s="283"/>
      <c r="AO47" s="289"/>
      <c r="AP47" s="289"/>
      <c r="AQ47" s="289"/>
      <c r="AR47" s="289"/>
      <c r="AS47" s="289"/>
      <c r="AT47" s="289"/>
      <c r="AU47" s="283"/>
    </row>
    <row r="48" spans="2:47" x14ac:dyDescent="0.25">
      <c r="B48" s="82"/>
      <c r="C48" s="21" t="s">
        <v>159</v>
      </c>
      <c r="D48" s="21" t="str">
        <f>INDEX(Unit_Rates!$C$7:$K$116,MATCH($C48,Unit_Rates!$C$7:$C$116,0),5)</f>
        <v>Subtransmission</v>
      </c>
      <c r="E48" s="21" t="str">
        <f>INDEX(Unit_Rates!$C$7:$K$116,MATCH($C48,Unit_Rates!$C$7:$C$116,0),6)</f>
        <v>Augmentation</v>
      </c>
      <c r="F48" s="21" t="str">
        <f t="shared" si="6"/>
        <v>SubtransmissionAugmentation</v>
      </c>
      <c r="G48" s="167">
        <v>0</v>
      </c>
      <c r="H48" s="168"/>
      <c r="I48" s="120" t="s">
        <v>279</v>
      </c>
      <c r="J48" s="162"/>
      <c r="K48" s="169">
        <f t="shared" si="30"/>
        <v>0</v>
      </c>
      <c r="L48" s="170">
        <f t="shared" si="3"/>
        <v>0</v>
      </c>
      <c r="M48" s="171"/>
      <c r="N48" s="178"/>
      <c r="O48" s="178"/>
      <c r="P48" s="231">
        <f>SUM(K48:O48)</f>
        <v>0</v>
      </c>
      <c r="Q48" s="149"/>
      <c r="R48" s="131">
        <v>0</v>
      </c>
      <c r="S48" s="131">
        <v>0</v>
      </c>
      <c r="T48" s="131">
        <v>0</v>
      </c>
      <c r="U48" s="131">
        <v>0</v>
      </c>
      <c r="V48" s="131">
        <v>0</v>
      </c>
      <c r="W48" s="131">
        <v>0</v>
      </c>
      <c r="X48" s="131">
        <v>0</v>
      </c>
      <c r="Y48" s="241">
        <f t="shared" si="5"/>
        <v>0</v>
      </c>
      <c r="AK48" s="283"/>
      <c r="AL48" s="283"/>
      <c r="AM48" s="283"/>
      <c r="AN48" s="283"/>
      <c r="AO48" s="289"/>
      <c r="AP48" s="289"/>
      <c r="AQ48" s="289"/>
      <c r="AR48" s="289"/>
      <c r="AS48" s="289"/>
      <c r="AT48" s="289"/>
      <c r="AU48" s="283"/>
    </row>
    <row r="49" spans="2:47" x14ac:dyDescent="0.25">
      <c r="B49" s="82"/>
      <c r="C49" s="21" t="s">
        <v>163</v>
      </c>
      <c r="D49" s="21" t="str">
        <f>INDEX(Unit_Rates!$C$7:$K$116,MATCH($C49,Unit_Rates!$C$7:$C$116,0),5)</f>
        <v>Subtransmission</v>
      </c>
      <c r="E49" s="21" t="str">
        <f>INDEX(Unit_Rates!$C$7:$K$116,MATCH($C49,Unit_Rates!$C$7:$C$116,0),6)</f>
        <v>Augmentation</v>
      </c>
      <c r="F49" s="21" t="str">
        <f t="shared" si="6"/>
        <v>SubtransmissionAugmentation</v>
      </c>
      <c r="G49" s="176">
        <f>INDEX(Unit_Rates!$C$7:$K$116,MATCH($C49,Unit_Rates!$C$7:$C$116,0),7)</f>
        <v>4.9999999999999996E-2</v>
      </c>
      <c r="H49" s="168"/>
      <c r="I49" s="120" t="s">
        <v>279</v>
      </c>
      <c r="J49" s="162"/>
      <c r="K49" s="169">
        <f t="shared" si="30"/>
        <v>0</v>
      </c>
      <c r="L49" s="170">
        <f t="shared" si="3"/>
        <v>0</v>
      </c>
      <c r="M49" s="171"/>
      <c r="N49" s="178">
        <f>$H49*INDEX(Unit_Rates!$C$7:$K$116,MATCH($C49,Unit_Rates!$C$7:$C$116,0),8)</f>
        <v>0</v>
      </c>
      <c r="O49" s="178">
        <f>$H49*INDEX(Unit_Rates!$C$7:$K$116,MATCH($C49,Unit_Rates!$C$7:$C$116,0),9)</f>
        <v>0</v>
      </c>
      <c r="P49" s="231">
        <f>SUM(K49:O49)</f>
        <v>0</v>
      </c>
      <c r="Q49" s="250">
        <f>P49-H49*VLOOKUP(C49,Unit_Rates!$C$7:$E$116,3,FALSE)</f>
        <v>0</v>
      </c>
      <c r="R49" s="131">
        <v>0</v>
      </c>
      <c r="S49" s="131">
        <v>0</v>
      </c>
      <c r="T49" s="131">
        <v>0</v>
      </c>
      <c r="U49" s="131">
        <v>0</v>
      </c>
      <c r="V49" s="131">
        <v>0</v>
      </c>
      <c r="W49" s="131">
        <v>0</v>
      </c>
      <c r="X49" s="131">
        <v>0</v>
      </c>
      <c r="Y49" s="241">
        <f t="shared" si="5"/>
        <v>0</v>
      </c>
      <c r="AK49" s="283"/>
      <c r="AL49" s="283"/>
      <c r="AM49" s="283"/>
      <c r="AN49" s="283"/>
      <c r="AO49" s="289"/>
      <c r="AP49" s="289"/>
      <c r="AQ49" s="289"/>
      <c r="AR49" s="289"/>
      <c r="AS49" s="289"/>
      <c r="AT49" s="289"/>
      <c r="AU49" s="254"/>
    </row>
    <row r="50" spans="2:47" x14ac:dyDescent="0.25">
      <c r="B50" s="82"/>
      <c r="C50" s="21" t="s">
        <v>23</v>
      </c>
      <c r="D50" t="s">
        <v>3</v>
      </c>
      <c r="E50" t="s">
        <v>25</v>
      </c>
      <c r="F50" s="21" t="str">
        <f t="shared" si="6"/>
        <v>SubtransmissionAugmentation</v>
      </c>
      <c r="G50" s="167">
        <v>0</v>
      </c>
      <c r="H50" s="168"/>
      <c r="I50" s="120" t="s">
        <v>278</v>
      </c>
      <c r="J50" s="162"/>
      <c r="K50" s="169">
        <f t="shared" si="30"/>
        <v>0</v>
      </c>
      <c r="L50" s="170">
        <f t="shared" si="3"/>
        <v>0</v>
      </c>
      <c r="M50" s="171"/>
      <c r="N50" s="178"/>
      <c r="O50" s="177"/>
      <c r="P50" s="231">
        <f>SUM(K50:O50)</f>
        <v>0</v>
      </c>
      <c r="Q50" s="149"/>
      <c r="R50" s="131">
        <v>0</v>
      </c>
      <c r="S50" s="131">
        <v>0</v>
      </c>
      <c r="T50" s="131">
        <v>0</v>
      </c>
      <c r="U50" s="131">
        <v>0</v>
      </c>
      <c r="V50" s="131">
        <v>0</v>
      </c>
      <c r="W50" s="131">
        <v>0</v>
      </c>
      <c r="X50" s="131">
        <v>0</v>
      </c>
      <c r="Y50" s="241">
        <f t="shared" si="5"/>
        <v>0</v>
      </c>
      <c r="AK50" s="283"/>
      <c r="AL50" s="283"/>
      <c r="AM50" s="283"/>
      <c r="AN50" s="283"/>
      <c r="AO50" s="289"/>
      <c r="AP50" s="289"/>
      <c r="AQ50" s="289"/>
      <c r="AR50" s="289"/>
      <c r="AS50" s="289"/>
      <c r="AT50" s="289"/>
      <c r="AU50" s="283"/>
    </row>
    <row r="51" spans="2:47" x14ac:dyDescent="0.25">
      <c r="B51" s="82"/>
      <c r="C51" s="21" t="s">
        <v>298</v>
      </c>
      <c r="D51" s="21" t="str">
        <f>INDEX(Unit_Rates!$C$7:$K$116,MATCH($C51,Unit_Rates!$C$7:$C$116,0),5)</f>
        <v>Subtransmission</v>
      </c>
      <c r="E51" s="21" t="str">
        <f>INDEX(Unit_Rates!$C$7:$K$116,MATCH($C51,Unit_Rates!$C$7:$C$116,0),6)</f>
        <v>Augmentation</v>
      </c>
      <c r="F51" s="21" t="str">
        <f t="shared" si="6"/>
        <v>SubtransmissionAugmentation</v>
      </c>
      <c r="G51" s="167">
        <f>INDEX(Unit_Rates!$C$7:$K$116,MATCH($C51,Unit_Rates!$C$7:$C$116,0),7)</f>
        <v>465.78000000000003</v>
      </c>
      <c r="H51" s="168"/>
      <c r="I51" s="120" t="s">
        <v>278</v>
      </c>
      <c r="J51" s="162"/>
      <c r="K51" s="169">
        <f t="shared" si="30"/>
        <v>0</v>
      </c>
      <c r="L51" s="170">
        <f t="shared" si="3"/>
        <v>0</v>
      </c>
      <c r="M51" s="171"/>
      <c r="N51" s="178">
        <f>$H51*INDEX(Unit_Rates!$C$7:$K$116,MATCH($C51,Unit_Rates!$C$7:$C$116,0),8)</f>
        <v>0</v>
      </c>
      <c r="O51" s="178">
        <f>$H51*INDEX(Unit_Rates!$C$7:$K$116,MATCH($C51,Unit_Rates!$C$7:$C$116,0),9)</f>
        <v>0</v>
      </c>
      <c r="P51" s="231">
        <f>SUM(K51:O51)</f>
        <v>0</v>
      </c>
      <c r="Q51" s="250">
        <f>P51-H51*VLOOKUP(C51,Unit_Rates!$C$7:$E$116,3,FALSE)</f>
        <v>0</v>
      </c>
      <c r="R51" s="131">
        <v>0</v>
      </c>
      <c r="S51" s="131">
        <v>0</v>
      </c>
      <c r="T51" s="131">
        <v>0</v>
      </c>
      <c r="U51" s="131">
        <v>0</v>
      </c>
      <c r="V51" s="131">
        <v>0</v>
      </c>
      <c r="W51" s="131">
        <v>0</v>
      </c>
      <c r="X51" s="131">
        <v>0</v>
      </c>
      <c r="Y51" s="241">
        <f t="shared" si="5"/>
        <v>0</v>
      </c>
      <c r="AK51" s="283"/>
      <c r="AL51" s="283"/>
      <c r="AM51" s="283"/>
      <c r="AN51" s="283"/>
      <c r="AO51" s="289"/>
      <c r="AP51" s="289"/>
      <c r="AQ51" s="289"/>
      <c r="AR51" s="289"/>
      <c r="AS51" s="289"/>
      <c r="AT51" s="289"/>
      <c r="AU51" s="283"/>
    </row>
    <row r="52" spans="2:47" x14ac:dyDescent="0.25">
      <c r="B52" s="82"/>
      <c r="C52" s="21" t="s">
        <v>169</v>
      </c>
      <c r="D52" s="21" t="str">
        <f>INDEX(Unit_Rates!$C$7:$K$116,MATCH($C52,Unit_Rates!$C$7:$C$116,0),5)</f>
        <v>Subtransmission</v>
      </c>
      <c r="E52" s="21" t="str">
        <f>INDEX(Unit_Rates!$C$7:$K$116,MATCH($C52,Unit_Rates!$C$7:$C$116,0),6)</f>
        <v>Augmentation</v>
      </c>
      <c r="F52" s="21" t="str">
        <f t="shared" si="6"/>
        <v>SubtransmissionAugmentation</v>
      </c>
      <c r="G52" s="167">
        <f>INDEX(Unit_Rates!$C$7:$K$116,MATCH($C52,Unit_Rates!$C$7:$C$116,0),7)</f>
        <v>0</v>
      </c>
      <c r="H52" s="168"/>
      <c r="I52" s="120" t="s">
        <v>278</v>
      </c>
      <c r="J52" s="162"/>
      <c r="K52" s="169">
        <v>0</v>
      </c>
      <c r="L52" s="170">
        <f t="shared" si="3"/>
        <v>0</v>
      </c>
      <c r="M52" s="171"/>
      <c r="N52" s="178">
        <f>$H52*INDEX(Unit_Rates!$C$7:$K$116,MATCH($C52,Unit_Rates!$C$7:$C$116,0),8)</f>
        <v>0</v>
      </c>
      <c r="O52" s="178">
        <f>$H52*INDEX(Unit_Rates!$C$7:$K$116,MATCH($C52,Unit_Rates!$C$7:$C$116,0),9)</f>
        <v>0</v>
      </c>
      <c r="P52" s="231">
        <f t="shared" ref="P52" si="31">SUM(K52:O52)</f>
        <v>0</v>
      </c>
      <c r="Q52" s="250">
        <f>P52-H52*VLOOKUP(C52,Unit_Rates!$C$7:$E$116,3,FALSE)</f>
        <v>0</v>
      </c>
      <c r="R52" s="131">
        <v>0</v>
      </c>
      <c r="S52" s="131">
        <v>0</v>
      </c>
      <c r="T52" s="131">
        <v>0</v>
      </c>
      <c r="U52" s="131">
        <v>0</v>
      </c>
      <c r="V52" s="131">
        <v>0</v>
      </c>
      <c r="W52" s="131">
        <v>0</v>
      </c>
      <c r="X52" s="131">
        <v>0</v>
      </c>
      <c r="Y52" s="241">
        <f t="shared" ref="Y52:Y59" si="32">SUM(R52:X52)</f>
        <v>0</v>
      </c>
      <c r="AK52" s="283"/>
      <c r="AL52" s="283"/>
      <c r="AM52" s="283"/>
      <c r="AN52" s="283"/>
      <c r="AO52" s="289"/>
      <c r="AP52" s="289"/>
      <c r="AQ52" s="289"/>
      <c r="AR52" s="289"/>
      <c r="AS52" s="289"/>
      <c r="AT52" s="289"/>
      <c r="AU52" s="283"/>
    </row>
    <row r="53" spans="2:47" x14ac:dyDescent="0.25">
      <c r="B53" s="82"/>
      <c r="C53" s="21"/>
      <c r="G53" s="167"/>
      <c r="H53" s="168"/>
      <c r="I53" s="164"/>
      <c r="J53" s="162"/>
      <c r="K53" s="146"/>
      <c r="L53" s="164"/>
      <c r="M53" s="166"/>
      <c r="N53" s="177"/>
      <c r="O53" s="177"/>
      <c r="P53" s="375"/>
      <c r="Q53" s="149"/>
      <c r="R53" s="131">
        <v>0</v>
      </c>
      <c r="S53" s="131">
        <v>0</v>
      </c>
      <c r="T53" s="131">
        <v>0</v>
      </c>
      <c r="U53" s="131">
        <v>0</v>
      </c>
      <c r="V53" s="131">
        <v>0</v>
      </c>
      <c r="W53" s="131">
        <v>0</v>
      </c>
      <c r="X53" s="131">
        <v>0</v>
      </c>
      <c r="Y53" s="241">
        <f t="shared" si="32"/>
        <v>0</v>
      </c>
      <c r="AK53" s="283"/>
      <c r="AL53" s="283"/>
      <c r="AM53" s="283"/>
      <c r="AN53" s="283"/>
      <c r="AO53" s="289"/>
      <c r="AP53" s="289"/>
      <c r="AQ53" s="289"/>
      <c r="AR53" s="289"/>
      <c r="AS53" s="289"/>
      <c r="AT53" s="289"/>
      <c r="AU53" s="283"/>
    </row>
    <row r="54" spans="2:47" x14ac:dyDescent="0.25">
      <c r="B54" s="117" t="s">
        <v>280</v>
      </c>
      <c r="C54" s="21"/>
      <c r="G54" s="167"/>
      <c r="H54" s="168"/>
      <c r="I54" s="120"/>
      <c r="J54" s="150"/>
      <c r="K54" s="169"/>
      <c r="L54" s="169"/>
      <c r="M54" s="177"/>
      <c r="N54" s="178"/>
      <c r="O54" s="177"/>
      <c r="P54" s="231"/>
      <c r="Q54" s="149"/>
      <c r="R54" s="131">
        <v>0</v>
      </c>
      <c r="S54" s="131">
        <v>0</v>
      </c>
      <c r="T54" s="131">
        <v>0</v>
      </c>
      <c r="U54" s="131">
        <v>0</v>
      </c>
      <c r="V54" s="131">
        <v>0</v>
      </c>
      <c r="W54" s="131">
        <v>0</v>
      </c>
      <c r="X54" s="131">
        <v>0</v>
      </c>
      <c r="Y54" s="241">
        <f t="shared" si="32"/>
        <v>0</v>
      </c>
      <c r="AK54" s="283"/>
      <c r="AL54" s="283"/>
      <c r="AM54" s="283"/>
      <c r="AN54" s="283"/>
      <c r="AO54" s="289"/>
      <c r="AP54" s="289"/>
      <c r="AQ54" s="289"/>
      <c r="AR54" s="289"/>
      <c r="AS54" s="289"/>
      <c r="AT54" s="289"/>
      <c r="AU54" s="283"/>
    </row>
    <row r="55" spans="2:47" x14ac:dyDescent="0.25">
      <c r="B55" s="82"/>
      <c r="C55" s="21" t="s">
        <v>309</v>
      </c>
      <c r="D55" s="21" t="str">
        <f>INDEX(Unit_Rates!$C$7:$K$116,MATCH($C55,Unit_Rates!$C$7:$C$116,0),5)</f>
        <v>SCADA/Network control</v>
      </c>
      <c r="E55" s="21" t="str">
        <f>INDEX(Unit_Rates!$C$7:$K$116,MATCH($C55,Unit_Rates!$C$7:$C$116,0),6)</f>
        <v>Augmentation</v>
      </c>
      <c r="F55" s="21" t="str">
        <f t="shared" ref="F55:F57" si="33">D55&amp;E55</f>
        <v>SCADA/Network controlAugmentation</v>
      </c>
      <c r="G55" s="167">
        <f>INDEX(Unit_Rates!$C$7:$K$116,MATCH($C55,Unit_Rates!$C$7:$C$116,0),7)</f>
        <v>76.729563200000001</v>
      </c>
      <c r="H55" s="168"/>
      <c r="I55" s="120" t="s">
        <v>278</v>
      </c>
      <c r="J55" s="162"/>
      <c r="K55" s="169">
        <f>G55*H55</f>
        <v>0</v>
      </c>
      <c r="L55" s="169">
        <f t="shared" ref="L55:L64" si="34">SUMPRODUCT(R$5:X$5,R55:X55)/Thousands</f>
        <v>0</v>
      </c>
      <c r="M55" s="148"/>
      <c r="N55" s="178">
        <f>$H55*INDEX(Unit_Rates!$C$7:$K$116,MATCH($C55,Unit_Rates!$C$7:$C$116,0),8)</f>
        <v>0</v>
      </c>
      <c r="O55" s="178">
        <f>$H55*INDEX(Unit_Rates!$C$7:$K$116,MATCH($C55,Unit_Rates!$C$7:$C$116,0),9)</f>
        <v>0</v>
      </c>
      <c r="P55" s="231">
        <f t="shared" ref="P55:P63" si="35">SUM(K55:O55)</f>
        <v>0</v>
      </c>
      <c r="Q55" s="250">
        <f>P55-H55*VLOOKUP(C55,Unit_Rates!$C$7:$E$116,3,FALSE)</f>
        <v>0</v>
      </c>
      <c r="R55" s="131">
        <v>0</v>
      </c>
      <c r="S55" s="131">
        <v>0</v>
      </c>
      <c r="T55" s="131">
        <v>0</v>
      </c>
      <c r="U55" s="131">
        <v>0</v>
      </c>
      <c r="V55" s="131">
        <v>0</v>
      </c>
      <c r="W55" s="131">
        <v>0</v>
      </c>
      <c r="X55" s="131">
        <v>0</v>
      </c>
      <c r="Y55" s="241">
        <f t="shared" si="32"/>
        <v>0</v>
      </c>
      <c r="AK55" s="283"/>
      <c r="AL55" s="283"/>
      <c r="AM55" s="283"/>
      <c r="AN55" s="283"/>
      <c r="AO55" s="289"/>
      <c r="AP55" s="289"/>
      <c r="AQ55" s="289"/>
      <c r="AR55" s="289"/>
      <c r="AS55" s="289"/>
      <c r="AT55" s="289"/>
      <c r="AU55" s="283"/>
    </row>
    <row r="56" spans="2:47" x14ac:dyDescent="0.25">
      <c r="B56" s="82"/>
      <c r="C56" s="21" t="s">
        <v>310</v>
      </c>
      <c r="D56" s="21" t="str">
        <f>INDEX(Unit_Rates!$C$7:$K$116,MATCH($C56,Unit_Rates!$C$7:$C$116,0),5)</f>
        <v>SCADA/Network control</v>
      </c>
      <c r="E56" s="21" t="str">
        <f>INDEX(Unit_Rates!$C$7:$K$116,MATCH($C56,Unit_Rates!$C$7:$C$116,0),6)</f>
        <v>Augmentation</v>
      </c>
      <c r="F56" s="21" t="str">
        <f t="shared" si="33"/>
        <v>SCADA/Network controlAugmentation</v>
      </c>
      <c r="G56" s="167">
        <f>INDEX(Unit_Rates!$C$7:$K$116,MATCH($C56,Unit_Rates!$C$7:$C$116,0),7)</f>
        <v>223.65781870000001</v>
      </c>
      <c r="H56" s="168"/>
      <c r="I56" s="120" t="s">
        <v>278</v>
      </c>
      <c r="J56" s="162"/>
      <c r="K56" s="169">
        <f>G56*H56</f>
        <v>0</v>
      </c>
      <c r="L56" s="169">
        <f t="shared" si="34"/>
        <v>0</v>
      </c>
      <c r="M56" s="148"/>
      <c r="N56" s="178">
        <f>$H56*INDEX(Unit_Rates!$C$7:$K$116,MATCH($C56,Unit_Rates!$C$7:$C$116,0),8)</f>
        <v>0</v>
      </c>
      <c r="O56" s="178">
        <f>$H56*INDEX(Unit_Rates!$C$7:$K$116,MATCH($C56,Unit_Rates!$C$7:$C$116,0),9)</f>
        <v>0</v>
      </c>
      <c r="P56" s="231">
        <f t="shared" si="35"/>
        <v>0</v>
      </c>
      <c r="Q56" s="250">
        <f>P56-H56*VLOOKUP(C56,Unit_Rates!$C$7:$E$116,3,FALSE)</f>
        <v>0</v>
      </c>
      <c r="R56" s="131">
        <v>0</v>
      </c>
      <c r="S56" s="131">
        <v>0</v>
      </c>
      <c r="T56" s="131">
        <v>0</v>
      </c>
      <c r="U56" s="131">
        <v>0</v>
      </c>
      <c r="V56" s="131">
        <v>0</v>
      </c>
      <c r="W56" s="131">
        <v>0</v>
      </c>
      <c r="X56" s="131">
        <v>0</v>
      </c>
      <c r="Y56" s="241">
        <f t="shared" si="32"/>
        <v>0</v>
      </c>
      <c r="AK56" s="283"/>
      <c r="AL56" s="283"/>
      <c r="AM56" s="283"/>
      <c r="AN56" s="283"/>
      <c r="AO56" s="289"/>
      <c r="AP56" s="289"/>
      <c r="AQ56" s="289"/>
      <c r="AR56" s="289"/>
      <c r="AS56" s="289"/>
      <c r="AT56" s="289"/>
      <c r="AU56" s="283"/>
    </row>
    <row r="57" spans="2:47" x14ac:dyDescent="0.25">
      <c r="B57" s="82"/>
      <c r="C57" s="21" t="s">
        <v>311</v>
      </c>
      <c r="D57" s="21" t="str">
        <f>INDEX(Unit_Rates!$C$7:$K$116,MATCH($C57,Unit_Rates!$C$7:$C$116,0),5)</f>
        <v>SCADA/Network control</v>
      </c>
      <c r="E57" s="21" t="str">
        <f>INDEX(Unit_Rates!$C$7:$K$116,MATCH($C57,Unit_Rates!$C$7:$C$116,0),6)</f>
        <v>Augmentation</v>
      </c>
      <c r="F57" s="21" t="str">
        <f t="shared" si="33"/>
        <v>SCADA/Network controlAugmentation</v>
      </c>
      <c r="G57" s="167">
        <f>INDEX(Unit_Rates!$C$7:$K$116,MATCH($C57,Unit_Rates!$C$7:$C$116,0),7)</f>
        <v>252.11545104999999</v>
      </c>
      <c r="H57" s="168"/>
      <c r="I57" s="120" t="s">
        <v>278</v>
      </c>
      <c r="J57" s="162"/>
      <c r="K57" s="169">
        <f t="shared" ref="K57" si="36">G57*H57</f>
        <v>0</v>
      </c>
      <c r="L57" s="169">
        <f t="shared" ref="L57" si="37">SUMPRODUCT(R$5:X$5,R57:X57)/Thousands</f>
        <v>0</v>
      </c>
      <c r="M57" s="148"/>
      <c r="N57" s="178">
        <f>$H57*INDEX(Unit_Rates!$C$7:$K$116,MATCH($C57,Unit_Rates!$C$7:$C$116,0),8)</f>
        <v>0</v>
      </c>
      <c r="O57" s="178">
        <f>$H57*INDEX(Unit_Rates!$C$7:$K$116,MATCH($C57,Unit_Rates!$C$7:$C$116,0),9)</f>
        <v>0</v>
      </c>
      <c r="P57" s="231">
        <f t="shared" si="35"/>
        <v>0</v>
      </c>
      <c r="Q57" s="250">
        <f>P57-H57*VLOOKUP(C57,Unit_Rates!$C$7:$E$116,3,FALSE)</f>
        <v>0</v>
      </c>
      <c r="R57" s="131">
        <v>0</v>
      </c>
      <c r="S57" s="131">
        <v>0</v>
      </c>
      <c r="T57" s="131">
        <v>0</v>
      </c>
      <c r="U57" s="131">
        <v>0</v>
      </c>
      <c r="V57" s="131">
        <v>0</v>
      </c>
      <c r="W57" s="131">
        <v>0</v>
      </c>
      <c r="X57" s="131">
        <v>0</v>
      </c>
      <c r="Y57" s="241">
        <f t="shared" si="32"/>
        <v>0</v>
      </c>
      <c r="AK57" s="283"/>
      <c r="AL57" s="288"/>
      <c r="AM57" s="283"/>
      <c r="AN57" s="283"/>
      <c r="AO57" s="289"/>
      <c r="AP57" s="289"/>
      <c r="AQ57" s="289"/>
      <c r="AR57" s="289"/>
      <c r="AS57" s="289"/>
      <c r="AT57" s="289"/>
      <c r="AU57" s="283"/>
    </row>
    <row r="58" spans="2:47" x14ac:dyDescent="0.25">
      <c r="B58" s="82"/>
      <c r="C58" s="21" t="s">
        <v>173</v>
      </c>
      <c r="D58" s="21" t="str">
        <f>INDEX(Unit_Rates!$C$7:$K$116,MATCH($C58,Unit_Rates!$C$7:$C$116,0),5)</f>
        <v>SCADA/Network control</v>
      </c>
      <c r="E58" s="21" t="str">
        <f>INDEX(Unit_Rates!$C$7:$K$116,MATCH($C58,Unit_Rates!$C$7:$C$116,0),6)</f>
        <v>Augmentation</v>
      </c>
      <c r="F58" s="21" t="str">
        <f t="shared" ref="F58:F59" si="38">D58&amp;E58</f>
        <v>SCADA/Network controlAugmentation</v>
      </c>
      <c r="G58" s="167">
        <f>INDEX(Unit_Rates!$C$7:$K$116,MATCH($C58,Unit_Rates!$C$7:$C$116,0),7)</f>
        <v>48.982274401473298</v>
      </c>
      <c r="H58" s="168"/>
      <c r="I58" s="120" t="s">
        <v>278</v>
      </c>
      <c r="J58" s="162"/>
      <c r="K58" s="169">
        <f t="shared" ref="K58" si="39">G58*H58</f>
        <v>0</v>
      </c>
      <c r="L58" s="169">
        <f t="shared" ref="L58" si="40">SUMPRODUCT(R$5:X$5,R58:X58)/Thousands</f>
        <v>0</v>
      </c>
      <c r="M58" s="148"/>
      <c r="N58" s="178">
        <f>$H58*INDEX(Unit_Rates!$C$7:$K$116,MATCH($C58,Unit_Rates!$C$7:$C$116,0),8)</f>
        <v>0</v>
      </c>
      <c r="O58" s="178">
        <f>$H58*INDEX(Unit_Rates!$C$7:$K$116,MATCH($C58,Unit_Rates!$C$7:$C$116,0),9)</f>
        <v>0</v>
      </c>
      <c r="P58" s="231">
        <f t="shared" ref="P58" si="41">SUM(K58:O58)</f>
        <v>0</v>
      </c>
      <c r="Q58" s="250">
        <f>P58-H58*VLOOKUP(C58,Unit_Rates!$C$7:$E$116,3,FALSE)</f>
        <v>0</v>
      </c>
      <c r="R58" s="131">
        <v>0</v>
      </c>
      <c r="S58" s="131">
        <v>0</v>
      </c>
      <c r="T58" s="131">
        <v>0</v>
      </c>
      <c r="U58" s="131">
        <v>0</v>
      </c>
      <c r="V58" s="131">
        <v>0</v>
      </c>
      <c r="W58" s="131">
        <v>0</v>
      </c>
      <c r="X58" s="131">
        <v>0</v>
      </c>
      <c r="Y58" s="241">
        <f t="shared" si="32"/>
        <v>0</v>
      </c>
      <c r="AK58" s="283"/>
      <c r="AL58" s="283"/>
      <c r="AM58" s="283"/>
      <c r="AN58" s="283"/>
      <c r="AO58" s="289"/>
      <c r="AP58" s="289"/>
      <c r="AQ58" s="289"/>
      <c r="AR58" s="289"/>
      <c r="AS58" s="289"/>
      <c r="AT58" s="289"/>
      <c r="AU58" s="283"/>
    </row>
    <row r="59" spans="2:47" x14ac:dyDescent="0.25">
      <c r="B59" s="82"/>
      <c r="C59" s="21" t="s">
        <v>176</v>
      </c>
      <c r="D59" s="21" t="str">
        <f>INDEX(Unit_Rates!$C$7:$K$116,MATCH($C59,Unit_Rates!$C$7:$C$116,0),5)</f>
        <v>SCADA/Network control</v>
      </c>
      <c r="E59" s="21" t="str">
        <f>INDEX(Unit_Rates!$C$7:$K$116,MATCH($C59,Unit_Rates!$C$7:$C$116,0),6)</f>
        <v>Augmentation</v>
      </c>
      <c r="F59" s="21" t="str">
        <f t="shared" si="38"/>
        <v>SCADA/Network controlAugmentation</v>
      </c>
      <c r="G59" s="167">
        <f>INDEX(Unit_Rates!$C$7:$K$116,MATCH($C59,Unit_Rates!$C$7:$C$116,0),7)</f>
        <v>6.2430939226519344</v>
      </c>
      <c r="H59" s="168"/>
      <c r="I59" s="120" t="s">
        <v>278</v>
      </c>
      <c r="J59" s="162"/>
      <c r="K59" s="169">
        <f t="shared" ref="K59" si="42">G59*H59</f>
        <v>0</v>
      </c>
      <c r="L59" s="169">
        <f t="shared" ref="L59" si="43">SUMPRODUCT(R$5:X$5,R59:X59)/Thousands</f>
        <v>0</v>
      </c>
      <c r="M59" s="148"/>
      <c r="N59" s="178">
        <f>$H59*INDEX(Unit_Rates!$C$7:$K$116,MATCH($C59,Unit_Rates!$C$7:$C$116,0),8)</f>
        <v>0</v>
      </c>
      <c r="O59" s="178">
        <f>$H59*INDEX(Unit_Rates!$C$7:$K$116,MATCH($C59,Unit_Rates!$C$7:$C$116,0),9)</f>
        <v>0</v>
      </c>
      <c r="P59" s="231">
        <f t="shared" ref="P59" si="44">SUM(K59:O59)</f>
        <v>0</v>
      </c>
      <c r="Q59" s="250">
        <f>P59-H59*VLOOKUP(C59,Unit_Rates!$C$7:$E$116,3,FALSE)</f>
        <v>0</v>
      </c>
      <c r="R59" s="131">
        <v>0</v>
      </c>
      <c r="S59" s="131">
        <v>0</v>
      </c>
      <c r="T59" s="131">
        <v>0</v>
      </c>
      <c r="U59" s="131">
        <v>0</v>
      </c>
      <c r="V59" s="131">
        <v>0</v>
      </c>
      <c r="W59" s="131">
        <v>0</v>
      </c>
      <c r="X59" s="131">
        <v>0</v>
      </c>
      <c r="Y59" s="241">
        <f t="shared" si="32"/>
        <v>0</v>
      </c>
      <c r="AK59" s="283"/>
      <c r="AL59" s="283"/>
      <c r="AM59" s="283"/>
      <c r="AN59" s="283"/>
      <c r="AO59" s="289"/>
      <c r="AP59" s="289"/>
      <c r="AQ59" s="289"/>
      <c r="AR59" s="289"/>
      <c r="AS59" s="289"/>
      <c r="AT59" s="289"/>
      <c r="AU59" s="283"/>
    </row>
    <row r="60" spans="2:47" x14ac:dyDescent="0.25">
      <c r="B60" s="82"/>
      <c r="C60" s="21" t="s">
        <v>179</v>
      </c>
      <c r="D60" s="21" t="str">
        <f>INDEX(Unit_Rates!$C$7:$K$116,MATCH($C60,Unit_Rates!$C$7:$C$116,0),5)</f>
        <v>SCADA/Network control</v>
      </c>
      <c r="E60" s="21" t="str">
        <f>INDEX(Unit_Rates!$C$7:$K$116,MATCH($C60,Unit_Rates!$C$7:$C$116,0),6)</f>
        <v>Augmentation</v>
      </c>
      <c r="F60" s="21" t="str">
        <f t="shared" ref="F60:F64" si="45">D60&amp;E60</f>
        <v>SCADA/Network controlAugmentation</v>
      </c>
      <c r="G60" s="167">
        <f>INDEX(Unit_Rates!$C$7:$K$116,MATCH($C60,Unit_Rates!$C$7:$C$116,0),7)</f>
        <v>98.007730202578273</v>
      </c>
      <c r="H60" s="168"/>
      <c r="I60" s="120" t="s">
        <v>278</v>
      </c>
      <c r="J60" s="162"/>
      <c r="K60" s="169">
        <f t="shared" ref="K60:K61" si="46">G60*H60</f>
        <v>0</v>
      </c>
      <c r="L60" s="169">
        <f t="shared" si="34"/>
        <v>0</v>
      </c>
      <c r="M60" s="148"/>
      <c r="N60" s="178">
        <f>$H60*INDEX(Unit_Rates!$C$7:$K$116,MATCH($C60,Unit_Rates!$C$7:$C$116,0),8)</f>
        <v>0</v>
      </c>
      <c r="O60" s="178">
        <f>$H60*INDEX(Unit_Rates!$C$7:$K$116,MATCH($C60,Unit_Rates!$C$7:$C$116,0),9)</f>
        <v>0</v>
      </c>
      <c r="P60" s="231">
        <f t="shared" si="35"/>
        <v>0</v>
      </c>
      <c r="Q60" s="250">
        <f>P60-H60*VLOOKUP(C60,Unit_Rates!$C$106:$E$116,3,FALSE)</f>
        <v>0</v>
      </c>
      <c r="R60" s="131">
        <v>0</v>
      </c>
      <c r="S60" s="131">
        <v>0</v>
      </c>
      <c r="T60" s="131">
        <v>0</v>
      </c>
      <c r="U60" s="131">
        <v>0</v>
      </c>
      <c r="V60" s="131">
        <v>0</v>
      </c>
      <c r="W60" s="131">
        <v>0</v>
      </c>
      <c r="X60" s="131">
        <v>0</v>
      </c>
      <c r="Y60" s="241">
        <f t="shared" ref="Y60:Y66" si="47">SUM(R60:X60)</f>
        <v>0</v>
      </c>
      <c r="AK60" s="283"/>
      <c r="AL60" s="283"/>
      <c r="AM60" s="283"/>
      <c r="AN60" s="283"/>
      <c r="AO60" s="289"/>
      <c r="AP60" s="289"/>
      <c r="AQ60" s="289"/>
      <c r="AR60" s="289"/>
      <c r="AS60" s="289"/>
      <c r="AT60" s="289"/>
      <c r="AU60" s="283"/>
    </row>
    <row r="61" spans="2:47" x14ac:dyDescent="0.25">
      <c r="B61" s="82"/>
      <c r="C61" s="21" t="s">
        <v>281</v>
      </c>
      <c r="D61" t="s">
        <v>2</v>
      </c>
      <c r="E61" t="s">
        <v>25</v>
      </c>
      <c r="F61" t="s">
        <v>28</v>
      </c>
      <c r="G61" s="180">
        <v>0</v>
      </c>
      <c r="H61" s="168"/>
      <c r="I61" s="120" t="s">
        <v>278</v>
      </c>
      <c r="J61" s="162"/>
      <c r="K61" s="169">
        <f t="shared" si="46"/>
        <v>0</v>
      </c>
      <c r="L61" s="169">
        <f t="shared" si="34"/>
        <v>0</v>
      </c>
      <c r="M61" s="148"/>
      <c r="N61" s="178"/>
      <c r="O61" s="178"/>
      <c r="P61" s="231">
        <f>SUM(K61:O61)</f>
        <v>0</v>
      </c>
      <c r="Q61" s="149"/>
      <c r="R61" s="131">
        <v>0</v>
      </c>
      <c r="S61" s="131">
        <v>0</v>
      </c>
      <c r="T61" s="131">
        <v>0</v>
      </c>
      <c r="U61" s="131">
        <v>0</v>
      </c>
      <c r="V61" s="131">
        <v>0</v>
      </c>
      <c r="W61" s="131">
        <v>0</v>
      </c>
      <c r="X61" s="131">
        <v>0</v>
      </c>
      <c r="Y61" s="241">
        <f t="shared" si="47"/>
        <v>0</v>
      </c>
      <c r="AK61" s="283"/>
      <c r="AL61" s="283"/>
      <c r="AM61" s="283"/>
      <c r="AN61" s="283"/>
      <c r="AO61" s="289"/>
      <c r="AP61" s="289"/>
      <c r="AQ61" s="289"/>
      <c r="AR61" s="289"/>
      <c r="AS61" s="289"/>
      <c r="AT61" s="289"/>
      <c r="AU61" s="283"/>
    </row>
    <row r="62" spans="2:47" x14ac:dyDescent="0.25">
      <c r="B62" s="82"/>
      <c r="C62" s="21" t="s">
        <v>191</v>
      </c>
      <c r="D62" t="s">
        <v>2</v>
      </c>
      <c r="E62" t="s">
        <v>25</v>
      </c>
      <c r="F62" t="s">
        <v>28</v>
      </c>
      <c r="G62" s="167">
        <f>INDEX(Unit_Rates!$C$7:$K$116,MATCH($C62,Unit_Rates!$C$7:$C$116,0),7)</f>
        <v>92.239631675874776</v>
      </c>
      <c r="H62" s="168"/>
      <c r="I62" s="120" t="s">
        <v>278</v>
      </c>
      <c r="J62" s="162"/>
      <c r="K62" s="169">
        <f t="shared" ref="K62" si="48">G62*H62</f>
        <v>0</v>
      </c>
      <c r="L62" s="169">
        <f t="shared" ref="L62" si="49">SUMPRODUCT(R$5:X$5,R62:X62)/Thousands</f>
        <v>0</v>
      </c>
      <c r="M62" s="148"/>
      <c r="N62" s="178">
        <f>$H62*INDEX(Unit_Rates!$C$7:$K$116,MATCH($C62,Unit_Rates!$C$7:$C$116,0),8)</f>
        <v>0</v>
      </c>
      <c r="O62" s="178">
        <f>$H62*INDEX(Unit_Rates!$C$7:$K$116,MATCH($C62,Unit_Rates!$C$7:$C$116,0),9)</f>
        <v>0</v>
      </c>
      <c r="P62" s="231">
        <f>SUM(K62:O62)</f>
        <v>0</v>
      </c>
      <c r="Q62" s="250">
        <f>P62-H62*VLOOKUP(C62,Unit_Rates!$C$106:$E$116,3,FALSE)</f>
        <v>0</v>
      </c>
      <c r="R62" s="131">
        <v>0</v>
      </c>
      <c r="S62" s="131">
        <v>0</v>
      </c>
      <c r="T62" s="131">
        <v>0</v>
      </c>
      <c r="U62" s="131">
        <v>0</v>
      </c>
      <c r="V62" s="131">
        <v>0</v>
      </c>
      <c r="W62" s="131">
        <v>0</v>
      </c>
      <c r="X62" s="131">
        <v>0</v>
      </c>
      <c r="Y62" s="241">
        <f t="shared" si="47"/>
        <v>0</v>
      </c>
      <c r="AK62" s="283"/>
      <c r="AL62" s="283"/>
      <c r="AM62" s="283"/>
      <c r="AN62" s="283"/>
      <c r="AO62" s="289"/>
      <c r="AP62" s="289"/>
      <c r="AQ62" s="289"/>
      <c r="AR62" s="289"/>
      <c r="AS62" s="289"/>
      <c r="AT62" s="289"/>
      <c r="AU62" s="283"/>
    </row>
    <row r="63" spans="2:47" x14ac:dyDescent="0.25">
      <c r="B63" s="82"/>
      <c r="C63" s="21" t="s">
        <v>282</v>
      </c>
      <c r="D63" t="s">
        <v>2</v>
      </c>
      <c r="E63" t="s">
        <v>25</v>
      </c>
      <c r="F63" s="21" t="str">
        <f t="shared" si="45"/>
        <v>SCADA/Network controlAugmentation</v>
      </c>
      <c r="G63" s="180">
        <v>0</v>
      </c>
      <c r="H63" s="168"/>
      <c r="I63" s="120" t="s">
        <v>278</v>
      </c>
      <c r="J63" s="162"/>
      <c r="K63" s="169">
        <f>G63*H63</f>
        <v>0</v>
      </c>
      <c r="L63" s="169">
        <f t="shared" si="34"/>
        <v>0</v>
      </c>
      <c r="M63" s="148"/>
      <c r="N63" s="178"/>
      <c r="O63" s="178"/>
      <c r="P63" s="231">
        <f t="shared" si="35"/>
        <v>0</v>
      </c>
      <c r="Q63" s="149"/>
      <c r="R63" s="131">
        <v>0</v>
      </c>
      <c r="S63" s="131">
        <v>0</v>
      </c>
      <c r="T63" s="131">
        <v>0</v>
      </c>
      <c r="U63" s="131">
        <v>0</v>
      </c>
      <c r="V63" s="131">
        <v>0</v>
      </c>
      <c r="W63" s="131">
        <v>0</v>
      </c>
      <c r="X63" s="131">
        <v>0</v>
      </c>
      <c r="Y63" s="241">
        <f t="shared" si="47"/>
        <v>0</v>
      </c>
      <c r="AK63" s="283"/>
      <c r="AL63" s="283"/>
      <c r="AM63" s="283"/>
      <c r="AN63" s="283"/>
      <c r="AO63" s="289"/>
      <c r="AP63" s="289"/>
      <c r="AQ63" s="289"/>
      <c r="AR63" s="289"/>
      <c r="AS63" s="289"/>
      <c r="AT63" s="289"/>
      <c r="AU63" s="283"/>
    </row>
    <row r="64" spans="2:47" x14ac:dyDescent="0.25">
      <c r="B64" s="117" t="s">
        <v>283</v>
      </c>
      <c r="C64" s="21"/>
      <c r="D64" t="s">
        <v>3</v>
      </c>
      <c r="E64" t="s">
        <v>25</v>
      </c>
      <c r="F64" s="21" t="str">
        <f t="shared" si="45"/>
        <v>SubtransmissionAugmentation</v>
      </c>
      <c r="G64" s="181">
        <v>0</v>
      </c>
      <c r="H64" s="168"/>
      <c r="I64" s="120" t="s">
        <v>278</v>
      </c>
      <c r="J64" s="162"/>
      <c r="K64" s="169">
        <f>G64*H64</f>
        <v>0</v>
      </c>
      <c r="L64" s="169">
        <f t="shared" si="34"/>
        <v>0</v>
      </c>
      <c r="M64" s="148"/>
      <c r="N64" s="178"/>
      <c r="O64" s="178"/>
      <c r="P64" s="231">
        <f>SUM(K64:O64)</f>
        <v>0</v>
      </c>
      <c r="Q64" s="149"/>
      <c r="R64" s="131">
        <v>0</v>
      </c>
      <c r="S64" s="131">
        <v>0</v>
      </c>
      <c r="T64" s="131">
        <v>0</v>
      </c>
      <c r="U64" s="131">
        <v>0</v>
      </c>
      <c r="V64" s="131">
        <v>0</v>
      </c>
      <c r="W64" s="131">
        <v>0</v>
      </c>
      <c r="X64" s="131">
        <v>0</v>
      </c>
      <c r="Y64" s="241">
        <f t="shared" si="47"/>
        <v>0</v>
      </c>
      <c r="AK64" s="283"/>
      <c r="AL64" s="283"/>
      <c r="AM64" s="283"/>
      <c r="AN64" s="283"/>
      <c r="AO64" s="289"/>
      <c r="AP64" s="289"/>
      <c r="AQ64" s="289"/>
      <c r="AR64" s="289"/>
      <c r="AS64" s="289"/>
      <c r="AT64" s="289"/>
      <c r="AU64" s="283"/>
    </row>
    <row r="65" spans="2:47" x14ac:dyDescent="0.25">
      <c r="B65" s="117" t="s">
        <v>308</v>
      </c>
      <c r="C65" s="21"/>
      <c r="D65" t="s">
        <v>3</v>
      </c>
      <c r="E65" t="s">
        <v>25</v>
      </c>
      <c r="F65" s="21" t="str">
        <f t="shared" ref="F65" si="50">D65&amp;E65</f>
        <v>SubtransmissionAugmentation</v>
      </c>
      <c r="G65" s="181"/>
      <c r="H65" s="168"/>
      <c r="I65" s="120" t="s">
        <v>278</v>
      </c>
      <c r="J65" s="162"/>
      <c r="K65" s="169">
        <f>G65*H65</f>
        <v>0</v>
      </c>
      <c r="L65" s="169">
        <f t="shared" ref="L65" si="51">SUMPRODUCT(R$5:X$5,R65:X65)/Thousands</f>
        <v>0</v>
      </c>
      <c r="M65" s="148"/>
      <c r="N65" s="178"/>
      <c r="O65" s="178"/>
      <c r="P65" s="231">
        <f>SUM(K65:O65)</f>
        <v>0</v>
      </c>
      <c r="Q65" s="149"/>
      <c r="R65" s="131">
        <v>0</v>
      </c>
      <c r="S65" s="131">
        <v>0</v>
      </c>
      <c r="T65" s="131">
        <v>0</v>
      </c>
      <c r="U65" s="131">
        <v>0</v>
      </c>
      <c r="V65" s="131">
        <v>0</v>
      </c>
      <c r="W65" s="131">
        <v>0</v>
      </c>
      <c r="X65" s="131">
        <v>0</v>
      </c>
      <c r="Y65" s="241">
        <f t="shared" si="47"/>
        <v>0</v>
      </c>
      <c r="AK65" s="283"/>
      <c r="AL65" s="283"/>
      <c r="AM65" s="283"/>
      <c r="AN65" s="283"/>
      <c r="AO65" s="289"/>
      <c r="AP65" s="289"/>
      <c r="AQ65" s="289"/>
      <c r="AR65" s="289"/>
      <c r="AS65" s="289"/>
      <c r="AT65" s="289"/>
      <c r="AU65" s="283"/>
    </row>
    <row r="66" spans="2:47" x14ac:dyDescent="0.25">
      <c r="B66" s="117" t="s">
        <v>307</v>
      </c>
      <c r="C66" s="21"/>
      <c r="D66" t="s">
        <v>3</v>
      </c>
      <c r="E66" t="s">
        <v>25</v>
      </c>
      <c r="F66" s="21" t="str">
        <f t="shared" ref="F66" si="52">D66&amp;E66</f>
        <v>SubtransmissionAugmentation</v>
      </c>
      <c r="G66" s="181"/>
      <c r="H66" s="168"/>
      <c r="I66" s="120" t="s">
        <v>278</v>
      </c>
      <c r="J66" s="162"/>
      <c r="K66" s="169">
        <f>G66*H66</f>
        <v>0</v>
      </c>
      <c r="L66" s="169">
        <f t="shared" ref="L66" si="53">SUMPRODUCT(R$5:X$5,R66:X66)/Thousands</f>
        <v>0</v>
      </c>
      <c r="M66" s="148"/>
      <c r="N66" s="178"/>
      <c r="O66" s="178"/>
      <c r="P66" s="231">
        <f>SUM(K66:O66)</f>
        <v>0</v>
      </c>
      <c r="Q66" s="149"/>
      <c r="R66" s="131">
        <v>0</v>
      </c>
      <c r="S66" s="131">
        <v>0</v>
      </c>
      <c r="T66" s="131">
        <v>0</v>
      </c>
      <c r="U66" s="131">
        <v>0</v>
      </c>
      <c r="V66" s="131">
        <v>0</v>
      </c>
      <c r="W66" s="131">
        <v>0</v>
      </c>
      <c r="X66" s="131">
        <v>0</v>
      </c>
      <c r="Y66" s="241">
        <f t="shared" si="47"/>
        <v>0</v>
      </c>
      <c r="AK66" s="283"/>
      <c r="AL66" s="283"/>
      <c r="AM66" s="283"/>
      <c r="AN66" s="283"/>
      <c r="AO66" s="289"/>
      <c r="AP66" s="289"/>
      <c r="AQ66" s="289"/>
      <c r="AR66" s="289"/>
      <c r="AS66" s="289"/>
      <c r="AT66" s="289"/>
      <c r="AU66" s="283"/>
    </row>
    <row r="67" spans="2:47" x14ac:dyDescent="0.25">
      <c r="B67" s="117" t="s">
        <v>284</v>
      </c>
      <c r="C67" s="21"/>
      <c r="G67" s="166"/>
      <c r="H67" s="182"/>
      <c r="I67" s="164"/>
      <c r="K67" s="146"/>
      <c r="L67" s="146"/>
      <c r="M67" s="165"/>
      <c r="N67" s="178"/>
      <c r="O67" s="177"/>
      <c r="P67" s="231"/>
      <c r="Q67" s="149"/>
      <c r="R67" s="131">
        <v>0</v>
      </c>
      <c r="S67" s="131">
        <v>0</v>
      </c>
      <c r="T67" s="131">
        <v>0</v>
      </c>
      <c r="U67" s="131">
        <v>0</v>
      </c>
      <c r="V67" s="131">
        <v>0</v>
      </c>
      <c r="W67" s="131">
        <v>0</v>
      </c>
      <c r="X67" s="131">
        <v>0</v>
      </c>
      <c r="Y67" s="241">
        <f t="shared" ref="Y67:Y73" si="54">SUM(R67:X67)</f>
        <v>0</v>
      </c>
      <c r="AK67" s="283"/>
      <c r="AL67" s="283"/>
      <c r="AM67" s="283"/>
      <c r="AN67" s="283"/>
      <c r="AO67" s="289"/>
      <c r="AP67" s="289"/>
      <c r="AQ67" s="289"/>
      <c r="AR67" s="289"/>
      <c r="AS67" s="289"/>
      <c r="AT67" s="289"/>
      <c r="AU67" s="283"/>
    </row>
    <row r="68" spans="2:47" x14ac:dyDescent="0.25">
      <c r="B68" s="82"/>
      <c r="C68" s="21" t="s">
        <v>306</v>
      </c>
      <c r="D68" t="s">
        <v>3</v>
      </c>
      <c r="E68" t="s">
        <v>25</v>
      </c>
      <c r="F68" s="21" t="str">
        <f t="shared" ref="F68:F73" si="55">D68&amp;E68</f>
        <v>SubtransmissionAugmentation</v>
      </c>
      <c r="G68" s="181">
        <v>0</v>
      </c>
      <c r="H68" s="168"/>
      <c r="I68" s="120" t="s">
        <v>278</v>
      </c>
      <c r="K68" s="169">
        <f>G68*H68</f>
        <v>0</v>
      </c>
      <c r="L68" s="169">
        <f t="shared" ref="L68:L73" si="56">SUMPRODUCT(R$5:X$5,R68:X68)/Thousands</f>
        <v>0</v>
      </c>
      <c r="M68" s="148"/>
      <c r="N68" s="178"/>
      <c r="O68" s="178"/>
      <c r="P68" s="231">
        <f t="shared" ref="P68:P73" si="57">SUM(K68:O68)</f>
        <v>0</v>
      </c>
      <c r="Q68" s="149"/>
      <c r="R68" s="131">
        <v>0</v>
      </c>
      <c r="S68" s="131">
        <v>0</v>
      </c>
      <c r="T68" s="131">
        <v>0</v>
      </c>
      <c r="U68" s="131">
        <v>0</v>
      </c>
      <c r="V68" s="131">
        <v>0</v>
      </c>
      <c r="W68" s="131">
        <v>0</v>
      </c>
      <c r="X68" s="131">
        <v>0</v>
      </c>
      <c r="Y68" s="241">
        <f t="shared" si="54"/>
        <v>0</v>
      </c>
      <c r="AK68" s="283"/>
      <c r="AL68" s="283"/>
      <c r="AM68" s="283"/>
      <c r="AN68" s="283"/>
      <c r="AO68" s="289"/>
      <c r="AP68" s="289"/>
      <c r="AQ68" s="289"/>
      <c r="AR68" s="289"/>
      <c r="AS68" s="289"/>
      <c r="AT68" s="289"/>
      <c r="AU68" s="283"/>
    </row>
    <row r="69" spans="2:47" x14ac:dyDescent="0.25">
      <c r="B69" s="82"/>
      <c r="C69" s="21" t="s">
        <v>305</v>
      </c>
      <c r="D69" t="s">
        <v>3</v>
      </c>
      <c r="E69" t="s">
        <v>25</v>
      </c>
      <c r="F69" s="21" t="str">
        <f t="shared" ref="F69" si="58">D69&amp;E69</f>
        <v>SubtransmissionAugmentation</v>
      </c>
      <c r="G69" s="181">
        <v>0</v>
      </c>
      <c r="H69" s="168"/>
      <c r="I69" s="120" t="s">
        <v>278</v>
      </c>
      <c r="K69" s="169">
        <f>G69*H69</f>
        <v>0</v>
      </c>
      <c r="L69" s="169">
        <f t="shared" si="56"/>
        <v>0</v>
      </c>
      <c r="M69" s="148"/>
      <c r="N69" s="178"/>
      <c r="O69" s="178"/>
      <c r="P69" s="231">
        <f t="shared" si="57"/>
        <v>0</v>
      </c>
      <c r="Q69" s="149"/>
      <c r="R69" s="131">
        <v>0</v>
      </c>
      <c r="S69" s="131">
        <v>0</v>
      </c>
      <c r="T69" s="131">
        <v>0</v>
      </c>
      <c r="U69" s="131">
        <v>0</v>
      </c>
      <c r="V69" s="131">
        <v>0</v>
      </c>
      <c r="W69" s="131">
        <v>0</v>
      </c>
      <c r="X69" s="131">
        <v>0</v>
      </c>
      <c r="Y69" s="241">
        <f t="shared" ref="Y69" si="59">SUM(R69:X69)</f>
        <v>0</v>
      </c>
      <c r="AL69" s="333"/>
      <c r="AU69" s="283"/>
    </row>
    <row r="70" spans="2:47" x14ac:dyDescent="0.25">
      <c r="B70" s="82"/>
      <c r="C70" s="21" t="s">
        <v>285</v>
      </c>
      <c r="D70" s="21" t="str">
        <f>Unit_Rates!G50</f>
        <v>Subtransmission</v>
      </c>
      <c r="E70" s="21" t="str">
        <f>Unit_Rates!H50</f>
        <v>Augmentation</v>
      </c>
      <c r="F70" s="21" t="str">
        <f t="shared" si="55"/>
        <v>SubtransmissionAugmentation</v>
      </c>
      <c r="G70" s="167">
        <f>Unit_Rates!$I$50</f>
        <v>131.39534883720927</v>
      </c>
      <c r="H70" s="168"/>
      <c r="I70" s="120" t="s">
        <v>278</v>
      </c>
      <c r="K70" s="169">
        <f>G70*H70</f>
        <v>0</v>
      </c>
      <c r="L70" s="169">
        <f t="shared" si="56"/>
        <v>0</v>
      </c>
      <c r="M70" s="148"/>
      <c r="N70" s="178">
        <f>$H70*INDEX(Unit_Rates!$C$7:$K$116,MATCH("Oil separator",Unit_Rates!$C$7:$C$116,0),8)</f>
        <v>0</v>
      </c>
      <c r="O70" s="178">
        <f>$H70*INDEX(Unit_Rates!$C$7:$K$116,MATCH("Oil separator",Unit_Rates!$C$7:$C$116,0),9)</f>
        <v>0</v>
      </c>
      <c r="P70" s="231">
        <f t="shared" si="57"/>
        <v>0</v>
      </c>
      <c r="Q70" s="250">
        <f>P70-H70*VLOOKUP("Oil separator",Unit_Rates!$C$7:$E$51,3,FALSE)</f>
        <v>0</v>
      </c>
      <c r="R70" s="131">
        <v>0</v>
      </c>
      <c r="S70" s="131">
        <v>0</v>
      </c>
      <c r="T70" s="131">
        <v>0</v>
      </c>
      <c r="U70" s="131">
        <v>0</v>
      </c>
      <c r="V70" s="131">
        <v>0</v>
      </c>
      <c r="W70" s="131">
        <v>0</v>
      </c>
      <c r="X70" s="131">
        <v>0</v>
      </c>
      <c r="Y70" s="241">
        <f t="shared" si="54"/>
        <v>0</v>
      </c>
      <c r="AU70" s="283"/>
    </row>
    <row r="71" spans="2:47" x14ac:dyDescent="0.25">
      <c r="B71" s="82"/>
      <c r="C71" s="262" t="s">
        <v>286</v>
      </c>
      <c r="D71" t="s">
        <v>3</v>
      </c>
      <c r="E71" t="s">
        <v>25</v>
      </c>
      <c r="F71" s="21" t="str">
        <f t="shared" si="55"/>
        <v>SubtransmissionAugmentation</v>
      </c>
      <c r="G71" s="181">
        <v>0</v>
      </c>
      <c r="H71" s="168"/>
      <c r="I71" s="120" t="s">
        <v>278</v>
      </c>
      <c r="K71" s="169">
        <f>G71*H71</f>
        <v>0</v>
      </c>
      <c r="L71" s="169">
        <f t="shared" si="56"/>
        <v>0</v>
      </c>
      <c r="M71" s="148"/>
      <c r="N71" s="178"/>
      <c r="O71" s="178"/>
      <c r="P71" s="231">
        <f t="shared" si="57"/>
        <v>0</v>
      </c>
      <c r="Q71" s="149"/>
      <c r="R71" s="131">
        <v>0</v>
      </c>
      <c r="S71" s="131">
        <v>0</v>
      </c>
      <c r="T71" s="131">
        <v>0</v>
      </c>
      <c r="U71" s="131">
        <v>0</v>
      </c>
      <c r="V71" s="131">
        <v>0</v>
      </c>
      <c r="W71" s="131">
        <v>0</v>
      </c>
      <c r="X71" s="131">
        <v>0</v>
      </c>
      <c r="Y71" s="241">
        <f t="shared" si="54"/>
        <v>0</v>
      </c>
      <c r="AK71" s="283"/>
      <c r="AL71" s="283"/>
      <c r="AM71" s="283"/>
      <c r="AN71" s="283"/>
      <c r="AO71" s="289"/>
      <c r="AP71" s="289"/>
      <c r="AQ71" s="289"/>
      <c r="AR71" s="289"/>
      <c r="AS71" s="289"/>
      <c r="AT71" s="289"/>
      <c r="AU71" s="283"/>
    </row>
    <row r="72" spans="2:47" x14ac:dyDescent="0.25">
      <c r="B72" s="117" t="s">
        <v>287</v>
      </c>
      <c r="C72" s="262"/>
      <c r="D72" t="s">
        <v>3</v>
      </c>
      <c r="E72" t="s">
        <v>25</v>
      </c>
      <c r="F72" s="21" t="str">
        <f t="shared" si="55"/>
        <v>SubtransmissionAugmentation</v>
      </c>
      <c r="G72" s="167">
        <v>0</v>
      </c>
      <c r="H72" s="168"/>
      <c r="I72" s="120" t="s">
        <v>278</v>
      </c>
      <c r="K72" s="169">
        <f>G72*H72</f>
        <v>0</v>
      </c>
      <c r="L72" s="198">
        <f t="shared" si="56"/>
        <v>0</v>
      </c>
      <c r="M72" s="183"/>
      <c r="N72" s="178"/>
      <c r="O72" s="178"/>
      <c r="P72" s="231">
        <f t="shared" si="57"/>
        <v>0</v>
      </c>
      <c r="Q72" s="149"/>
      <c r="R72" s="184"/>
      <c r="S72" s="184"/>
      <c r="T72" s="184"/>
      <c r="U72" s="184"/>
      <c r="V72" s="184"/>
      <c r="W72" s="184"/>
      <c r="X72" s="184"/>
      <c r="Y72" s="75"/>
      <c r="AK72" s="283"/>
      <c r="AL72" s="283"/>
      <c r="AM72" s="283"/>
      <c r="AN72" s="283"/>
      <c r="AO72" s="289"/>
      <c r="AP72" s="289"/>
      <c r="AQ72" s="289"/>
      <c r="AR72" s="289"/>
      <c r="AS72" s="289"/>
      <c r="AT72" s="289"/>
      <c r="AU72" s="283"/>
    </row>
    <row r="73" spans="2:47" x14ac:dyDescent="0.25">
      <c r="B73" s="117" t="s">
        <v>288</v>
      </c>
      <c r="C73" s="21"/>
      <c r="D73" t="s">
        <v>4</v>
      </c>
      <c r="E73" t="s">
        <v>27</v>
      </c>
      <c r="F73" s="21" t="str">
        <f t="shared" si="55"/>
        <v>LandNon-Network</v>
      </c>
      <c r="G73" s="167">
        <v>0</v>
      </c>
      <c r="H73" s="168"/>
      <c r="I73" s="120" t="s">
        <v>278</v>
      </c>
      <c r="K73" s="198">
        <v>0</v>
      </c>
      <c r="L73" s="198">
        <f t="shared" si="56"/>
        <v>0</v>
      </c>
      <c r="M73" s="183"/>
      <c r="N73" s="178"/>
      <c r="O73" s="178"/>
      <c r="P73" s="231">
        <f t="shared" si="57"/>
        <v>0</v>
      </c>
      <c r="Q73" s="149"/>
      <c r="R73" s="131">
        <v>0</v>
      </c>
      <c r="S73" s="131">
        <v>0</v>
      </c>
      <c r="T73" s="131">
        <v>0</v>
      </c>
      <c r="U73" s="131">
        <v>0</v>
      </c>
      <c r="V73" s="131">
        <v>0</v>
      </c>
      <c r="W73" s="131">
        <v>0</v>
      </c>
      <c r="X73" s="131">
        <v>0</v>
      </c>
      <c r="Y73" s="241">
        <f t="shared" si="54"/>
        <v>0</v>
      </c>
      <c r="AK73" s="283"/>
      <c r="AL73" s="288"/>
      <c r="AM73" s="283"/>
      <c r="AN73" s="283"/>
      <c r="AO73" s="289"/>
      <c r="AP73" s="289"/>
      <c r="AQ73" s="289"/>
      <c r="AR73" s="289"/>
      <c r="AS73" s="289"/>
      <c r="AT73" s="289"/>
      <c r="AU73" s="283"/>
    </row>
    <row r="74" spans="2:47" x14ac:dyDescent="0.25">
      <c r="B74" s="82"/>
      <c r="C74" s="21"/>
      <c r="G74" s="166"/>
      <c r="H74" s="82"/>
      <c r="I74" s="164"/>
      <c r="K74" s="185"/>
      <c r="L74" s="185"/>
      <c r="M74" s="186"/>
      <c r="N74" s="197"/>
      <c r="O74" s="197"/>
      <c r="P74" s="197"/>
      <c r="X74" s="106"/>
      <c r="AK74" s="283"/>
      <c r="AL74" s="283"/>
      <c r="AM74" s="283"/>
      <c r="AN74" s="283"/>
      <c r="AO74" s="289"/>
      <c r="AP74" s="289"/>
      <c r="AQ74" s="289"/>
      <c r="AR74" s="289"/>
      <c r="AS74" s="289"/>
      <c r="AT74" s="289"/>
      <c r="AU74" s="283"/>
    </row>
    <row r="75" spans="2:47" x14ac:dyDescent="0.25">
      <c r="B75" s="117" t="s">
        <v>376</v>
      </c>
      <c r="C75" s="21"/>
      <c r="G75" s="166"/>
      <c r="H75" s="82"/>
      <c r="I75" s="164"/>
      <c r="K75" s="278">
        <f t="shared" ref="K75:P75" si="60">SUM(K6:K73)</f>
        <v>0</v>
      </c>
      <c r="L75" s="278">
        <f t="shared" si="60"/>
        <v>0</v>
      </c>
      <c r="M75" s="279">
        <f t="shared" si="60"/>
        <v>0</v>
      </c>
      <c r="N75" s="279">
        <f t="shared" si="60"/>
        <v>0</v>
      </c>
      <c r="O75" s="279">
        <f t="shared" si="60"/>
        <v>0</v>
      </c>
      <c r="P75" s="279">
        <f t="shared" si="60"/>
        <v>0</v>
      </c>
      <c r="Q75" s="323"/>
      <c r="X75" s="106"/>
      <c r="AK75" s="283"/>
      <c r="AL75" s="283"/>
      <c r="AM75" s="283"/>
      <c r="AN75" s="283"/>
      <c r="AO75" s="289"/>
      <c r="AP75" s="289"/>
      <c r="AQ75" s="289"/>
      <c r="AR75" s="289"/>
      <c r="AS75" s="289"/>
      <c r="AT75" s="289"/>
      <c r="AU75" s="283"/>
    </row>
    <row r="76" spans="2:47" x14ac:dyDescent="0.25">
      <c r="B76" s="187" t="s">
        <v>289</v>
      </c>
      <c r="C76" s="263"/>
      <c r="D76" s="100"/>
      <c r="E76" s="100"/>
      <c r="F76" s="100"/>
      <c r="G76" s="188"/>
      <c r="H76" s="187"/>
      <c r="I76" s="188"/>
      <c r="J76" s="100"/>
      <c r="K76" s="189">
        <v>0</v>
      </c>
      <c r="L76" s="190">
        <v>0</v>
      </c>
      <c r="M76" s="190">
        <v>0</v>
      </c>
      <c r="N76" s="376">
        <v>0</v>
      </c>
      <c r="O76" s="376">
        <v>0</v>
      </c>
      <c r="P76" s="377">
        <v>0</v>
      </c>
      <c r="X76" s="106"/>
      <c r="AL76" s="333"/>
      <c r="AU76" s="283"/>
    </row>
    <row r="77" spans="2:47" ht="30" x14ac:dyDescent="0.25">
      <c r="B77" s="140" t="s">
        <v>290</v>
      </c>
      <c r="C77" s="260"/>
      <c r="D77" s="115"/>
      <c r="E77" s="115"/>
      <c r="F77" s="115"/>
      <c r="G77" s="192" t="s">
        <v>291</v>
      </c>
      <c r="H77" s="229" t="s">
        <v>265</v>
      </c>
      <c r="I77" s="65" t="s">
        <v>266</v>
      </c>
      <c r="J77" s="100"/>
      <c r="K77" s="65" t="s">
        <v>19</v>
      </c>
      <c r="L77" s="65" t="s">
        <v>20</v>
      </c>
      <c r="M77" s="193" t="s">
        <v>21</v>
      </c>
      <c r="N77" s="378" t="s">
        <v>22</v>
      </c>
      <c r="O77" s="328" t="s">
        <v>23</v>
      </c>
      <c r="P77" s="328" t="s">
        <v>24</v>
      </c>
      <c r="X77" s="106"/>
      <c r="AU77" s="283"/>
    </row>
    <row r="78" spans="2:47" x14ac:dyDescent="0.25">
      <c r="B78" s="117"/>
      <c r="C78" s="242"/>
      <c r="G78" s="164"/>
      <c r="H78" s="82"/>
      <c r="I78" s="164"/>
      <c r="K78" s="194"/>
      <c r="L78" s="194"/>
      <c r="M78" s="195"/>
      <c r="N78" s="379"/>
      <c r="O78" s="379"/>
      <c r="P78" s="375"/>
      <c r="X78" s="106"/>
      <c r="AK78" s="283"/>
      <c r="AL78" s="283"/>
      <c r="AM78" s="283"/>
      <c r="AN78" s="283"/>
      <c r="AO78" s="289"/>
      <c r="AP78" s="289"/>
      <c r="AQ78" s="289"/>
      <c r="AR78" s="289"/>
      <c r="AS78" s="289"/>
      <c r="AT78" s="289"/>
      <c r="AU78" s="283"/>
    </row>
    <row r="79" spans="2:47" x14ac:dyDescent="0.25">
      <c r="B79" s="248" t="s">
        <v>379</v>
      </c>
      <c r="C79" s="21"/>
      <c r="G79" s="164"/>
      <c r="H79" s="82"/>
      <c r="I79" s="164"/>
      <c r="K79" s="194"/>
      <c r="L79" s="194"/>
      <c r="M79" s="195"/>
      <c r="N79" s="379"/>
      <c r="O79" s="379"/>
      <c r="P79" s="375"/>
      <c r="X79" s="106"/>
      <c r="Y79" s="75"/>
      <c r="AK79" s="283"/>
      <c r="AL79" s="283"/>
      <c r="AM79" s="283"/>
      <c r="AN79" s="283"/>
      <c r="AO79" s="289"/>
      <c r="AP79" s="289"/>
      <c r="AQ79" s="289"/>
      <c r="AR79" s="289"/>
      <c r="AS79" s="289"/>
      <c r="AT79" s="289"/>
      <c r="AU79" s="283"/>
    </row>
    <row r="80" spans="2:47" x14ac:dyDescent="0.25">
      <c r="B80" s="269" t="str">
        <f>"Lines works at "&amp;STN_2&amp;" feeders"</f>
        <v>Lines works at &lt;spare&gt; feeders</v>
      </c>
      <c r="C80" s="21"/>
      <c r="G80" s="164"/>
      <c r="H80" s="82"/>
      <c r="I80" s="164"/>
      <c r="K80" s="194"/>
      <c r="L80" s="194"/>
      <c r="M80" s="195"/>
      <c r="N80" s="379"/>
      <c r="O80" s="379"/>
      <c r="P80" s="375"/>
      <c r="X80" s="106"/>
      <c r="Y80" s="75"/>
      <c r="AK80" s="283"/>
      <c r="AL80" s="283"/>
      <c r="AM80" s="283"/>
      <c r="AN80" s="283"/>
      <c r="AO80" s="289"/>
      <c r="AP80" s="289"/>
      <c r="AQ80" s="289"/>
      <c r="AR80" s="289"/>
      <c r="AS80" s="289"/>
      <c r="AT80" s="289"/>
      <c r="AU80" s="283"/>
    </row>
    <row r="81" spans="1:47" x14ac:dyDescent="0.25">
      <c r="B81" s="251"/>
      <c r="C81" s="242" t="s">
        <v>380</v>
      </c>
      <c r="D81" s="21" t="str">
        <f>INDEX(Unit_Rates!$C$7:$K$116,MATCH($C81,Unit_Rates!$C$7:$C$116,0),5)</f>
        <v>Distribution system assets</v>
      </c>
      <c r="E81" s="21" t="str">
        <f>INDEX(Unit_Rates!$C$7:$K$116,MATCH($C81,Unit_Rates!$C$7:$C$116,0),6)</f>
        <v>Augmentation</v>
      </c>
      <c r="F81" s="21" t="str">
        <f t="shared" ref="F81:F83" si="61">D81&amp;E81</f>
        <v>Distribution system assetsAugmentation</v>
      </c>
      <c r="G81" s="167">
        <f>INDEX(Unit_Rates!$C$7:$K$116,MATCH($C81,Unit_Rates!$C$7:$C$116,0),7)</f>
        <v>6.4197386759582073E-2</v>
      </c>
      <c r="H81" s="284"/>
      <c r="I81" s="120" t="s">
        <v>279</v>
      </c>
      <c r="J81" s="106"/>
      <c r="K81" s="167">
        <f>G81*H81</f>
        <v>0</v>
      </c>
      <c r="L81" s="167">
        <f t="shared" ref="L81:L83" si="62">SUMPRODUCT(R$5:X$5,R81:X81)/Thousands</f>
        <v>0</v>
      </c>
      <c r="M81" s="167"/>
      <c r="N81" s="167">
        <f>$H81*INDEX(Unit_Rates!$C$7:$K$116,MATCH($C81,Unit_Rates!$C$7:$C$116,0),8)</f>
        <v>0</v>
      </c>
      <c r="O81" s="167">
        <f>$H81*INDEX(Unit_Rates!$C$7:$K$116,MATCH($C81,Unit_Rates!$C$7:$C$116,0),9)</f>
        <v>0</v>
      </c>
      <c r="P81" s="167">
        <f t="shared" ref="P81:P83" si="63">SUM(K81:O81)</f>
        <v>0</v>
      </c>
      <c r="Q81" s="250">
        <f>P81-H81*VLOOKUP(C81,Unit_Rates!$C$7:$E$116,3,FALSE)</f>
        <v>0</v>
      </c>
      <c r="R81" s="131">
        <v>0</v>
      </c>
      <c r="S81" s="131">
        <v>0</v>
      </c>
      <c r="T81" s="131">
        <v>0</v>
      </c>
      <c r="U81" s="131">
        <v>0</v>
      </c>
      <c r="V81" s="131">
        <v>0</v>
      </c>
      <c r="W81" s="131">
        <v>0</v>
      </c>
      <c r="X81" s="131">
        <v>0</v>
      </c>
      <c r="Y81" s="241">
        <f t="shared" ref="Y81:Y83" si="64">SUM(R81:X81)</f>
        <v>0</v>
      </c>
      <c r="Z81" s="6"/>
      <c r="AA81" s="6"/>
      <c r="AB81" s="6"/>
      <c r="AC81" s="6"/>
      <c r="AD81" s="6"/>
      <c r="AE81" s="6"/>
      <c r="AF81" s="6"/>
      <c r="AG81" s="8"/>
      <c r="AI81" s="94"/>
      <c r="AK81" s="283"/>
      <c r="AL81" s="288"/>
      <c r="AM81" s="283"/>
      <c r="AN81" s="283"/>
      <c r="AO81" s="289"/>
      <c r="AP81" s="289"/>
      <c r="AQ81" s="289"/>
      <c r="AR81" s="289"/>
      <c r="AS81" s="289"/>
      <c r="AT81" s="289"/>
      <c r="AU81" s="283"/>
    </row>
    <row r="82" spans="1:47" x14ac:dyDescent="0.25">
      <c r="B82" s="251"/>
      <c r="C82" s="21" t="s">
        <v>216</v>
      </c>
      <c r="D82" s="21" t="str">
        <f>Unit_Rates!G$132</f>
        <v>Distribution system assets</v>
      </c>
      <c r="E82" s="21" t="str">
        <f>Unit_Rates!H$132</f>
        <v>Augmentation</v>
      </c>
      <c r="F82" s="21" t="str">
        <f t="shared" si="61"/>
        <v>Distribution system assetsAugmentation</v>
      </c>
      <c r="G82" s="167">
        <f>Unit_Rates!I$132</f>
        <v>22.603922249219018</v>
      </c>
      <c r="H82" s="284"/>
      <c r="I82" s="245" t="s">
        <v>278</v>
      </c>
      <c r="J82" s="106"/>
      <c r="K82" s="167">
        <f t="shared" ref="K82" si="65">G82*H82</f>
        <v>0</v>
      </c>
      <c r="L82" s="167">
        <f t="shared" si="62"/>
        <v>0</v>
      </c>
      <c r="M82" s="167">
        <f>$H82*Unit_Rates!K$132</f>
        <v>0</v>
      </c>
      <c r="N82" s="167">
        <f>$H82*Unit_Rates!L$132</f>
        <v>0</v>
      </c>
      <c r="O82" s="167">
        <f>$H82*Unit_Rates!M$132</f>
        <v>0</v>
      </c>
      <c r="P82" s="167">
        <f t="shared" si="63"/>
        <v>0</v>
      </c>
      <c r="Q82" s="250">
        <f>P82-H82*VLOOKUP(C82,Unit_Rates!$C$7:$E$135,3,FALSE)</f>
        <v>0</v>
      </c>
      <c r="R82" s="131">
        <f>$H82*Z82*Unit_Rates!$J$132*1000/R$5</f>
        <v>0</v>
      </c>
      <c r="S82" s="131">
        <f>$H82*AA82*Unit_Rates!$J$132*1000/S$5</f>
        <v>0</v>
      </c>
      <c r="T82" s="131">
        <f>$H82*AB82*Unit_Rates!$J$132*1000/T$5</f>
        <v>0</v>
      </c>
      <c r="U82" s="131">
        <v>0</v>
      </c>
      <c r="V82" s="131">
        <v>0</v>
      </c>
      <c r="W82" s="131">
        <v>0</v>
      </c>
      <c r="X82" s="131">
        <v>0</v>
      </c>
      <c r="Y82" s="241">
        <f t="shared" si="64"/>
        <v>0</v>
      </c>
      <c r="Z82" s="6">
        <v>0.30314923274650007</v>
      </c>
      <c r="AA82" s="6">
        <v>0.32449777026385923</v>
      </c>
      <c r="AB82" s="324">
        <v>0.37235299698964058</v>
      </c>
      <c r="AC82" s="6"/>
      <c r="AD82" s="6"/>
      <c r="AE82" s="6"/>
      <c r="AF82" s="6"/>
      <c r="AG82" s="8"/>
      <c r="AI82" s="94"/>
      <c r="AK82" s="283"/>
      <c r="AL82" s="283"/>
      <c r="AM82" s="283"/>
      <c r="AN82" s="283"/>
      <c r="AO82" s="289"/>
      <c r="AP82" s="289"/>
      <c r="AQ82" s="289"/>
      <c r="AR82" s="289"/>
      <c r="AS82" s="289"/>
      <c r="AT82" s="289"/>
      <c r="AU82" s="283"/>
    </row>
    <row r="83" spans="1:47" x14ac:dyDescent="0.25">
      <c r="A83" s="21"/>
      <c r="B83" s="251"/>
      <c r="C83" s="264" t="s">
        <v>391</v>
      </c>
      <c r="D83" s="21" t="str">
        <f>INDEX(Unit_Rates!$C$7:$K$116,MATCH($C83,Unit_Rates!$C$7:$C$116,0),5)</f>
        <v>Distribution system assets</v>
      </c>
      <c r="E83" s="21" t="str">
        <f>INDEX(Unit_Rates!$C$7:$K$116,MATCH($C83,Unit_Rates!$C$7:$C$116,0),6)</f>
        <v>Replacement</v>
      </c>
      <c r="F83" s="21" t="str">
        <f t="shared" si="61"/>
        <v>Distribution system assetsReplacement</v>
      </c>
      <c r="G83" s="167">
        <f>INDEX(Unit_Rates!$C$7:$K$116,MATCH($C83,Unit_Rates!$C$7:$C$116,0),7)</f>
        <v>6.06</v>
      </c>
      <c r="H83" s="284"/>
      <c r="I83" s="245" t="s">
        <v>278</v>
      </c>
      <c r="J83" s="106"/>
      <c r="K83" s="197">
        <f t="shared" ref="K83" si="66">G83*H83</f>
        <v>0</v>
      </c>
      <c r="L83" s="197">
        <f t="shared" si="62"/>
        <v>0</v>
      </c>
      <c r="M83" s="197"/>
      <c r="N83" s="197">
        <f>$H83*INDEX(Unit_Rates!$C$7:$K$116,MATCH($C83,Unit_Rates!$C$7:$C$116,0),8)</f>
        <v>0</v>
      </c>
      <c r="O83" s="197">
        <f>$H83*INDEX(Unit_Rates!$C$7:$K$116,MATCH($C83,Unit_Rates!$C$7:$C$116,0),9)</f>
        <v>0</v>
      </c>
      <c r="P83" s="197">
        <f t="shared" si="63"/>
        <v>0</v>
      </c>
      <c r="Q83" s="250">
        <f>P83-H83*VLOOKUP(C83,Unit_Rates!$C$7:$E$116,3,FALSE)</f>
        <v>0</v>
      </c>
      <c r="R83" s="131">
        <v>0</v>
      </c>
      <c r="S83" s="131">
        <v>0</v>
      </c>
      <c r="T83" s="131">
        <v>0</v>
      </c>
      <c r="U83" s="131">
        <v>0</v>
      </c>
      <c r="V83" s="131">
        <v>0</v>
      </c>
      <c r="W83" s="131">
        <v>0</v>
      </c>
      <c r="X83" s="131">
        <v>0</v>
      </c>
      <c r="Y83" s="241">
        <f t="shared" si="64"/>
        <v>0</v>
      </c>
      <c r="Z83" s="6"/>
      <c r="AA83" s="6"/>
      <c r="AB83" s="6"/>
      <c r="AC83" s="6"/>
      <c r="AD83" s="6"/>
      <c r="AE83" s="6"/>
      <c r="AF83" s="6"/>
      <c r="AG83" s="8"/>
      <c r="AI83" s="94"/>
      <c r="AK83" s="283"/>
      <c r="AL83" s="283"/>
      <c r="AM83" s="283"/>
      <c r="AN83" s="283"/>
      <c r="AO83" s="289"/>
      <c r="AP83" s="289"/>
      <c r="AQ83" s="289"/>
      <c r="AR83" s="289"/>
      <c r="AS83" s="289"/>
      <c r="AT83" s="289"/>
      <c r="AU83" s="283"/>
    </row>
    <row r="84" spans="1:47" x14ac:dyDescent="0.25">
      <c r="A84" s="21"/>
      <c r="B84" s="117"/>
      <c r="C84" s="21" t="s">
        <v>455</v>
      </c>
      <c r="G84" s="198"/>
      <c r="H84" s="119"/>
      <c r="I84" s="164"/>
      <c r="K84" s="198">
        <f t="shared" ref="K84:P84" si="67">SUM(K81:K83)</f>
        <v>0</v>
      </c>
      <c r="L84" s="198">
        <f t="shared" si="67"/>
        <v>0</v>
      </c>
      <c r="M84" s="167">
        <f t="shared" si="67"/>
        <v>0</v>
      </c>
      <c r="N84" s="167">
        <f t="shared" si="67"/>
        <v>0</v>
      </c>
      <c r="O84" s="167">
        <f t="shared" si="67"/>
        <v>0</v>
      </c>
      <c r="P84" s="167">
        <f t="shared" si="67"/>
        <v>0</v>
      </c>
      <c r="Q84" s="160"/>
      <c r="R84" s="124"/>
      <c r="S84" s="124"/>
      <c r="T84" s="124"/>
      <c r="U84" s="124"/>
      <c r="V84" s="124"/>
      <c r="W84" s="124"/>
      <c r="X84" s="124"/>
      <c r="AI84" s="95"/>
      <c r="AK84" s="283"/>
      <c r="AL84" s="283"/>
      <c r="AM84" s="283"/>
      <c r="AN84" s="283"/>
      <c r="AO84" s="289"/>
      <c r="AP84" s="289"/>
      <c r="AQ84" s="289"/>
      <c r="AR84" s="289"/>
      <c r="AS84" s="289"/>
      <c r="AT84" s="289"/>
      <c r="AU84" s="283"/>
    </row>
    <row r="85" spans="1:47" x14ac:dyDescent="0.25">
      <c r="A85" s="21"/>
      <c r="B85" s="117"/>
      <c r="C85" s="21"/>
      <c r="G85" s="163"/>
      <c r="H85" s="119"/>
      <c r="I85" s="164"/>
      <c r="K85" s="198"/>
      <c r="L85" s="198"/>
      <c r="M85" s="167"/>
      <c r="N85" s="167"/>
      <c r="O85" s="167"/>
      <c r="P85" s="167"/>
      <c r="R85" s="124"/>
      <c r="S85" s="124"/>
      <c r="T85" s="124"/>
      <c r="U85" s="124"/>
      <c r="V85" s="124"/>
      <c r="W85" s="124"/>
      <c r="X85" s="124"/>
      <c r="AI85" s="95"/>
      <c r="AK85" s="283"/>
      <c r="AL85" s="283"/>
      <c r="AM85" s="283"/>
      <c r="AN85" s="283"/>
      <c r="AO85" s="289"/>
      <c r="AP85" s="289"/>
      <c r="AQ85" s="289"/>
      <c r="AR85" s="289"/>
      <c r="AS85" s="289"/>
      <c r="AT85" s="289"/>
      <c r="AU85" s="283"/>
    </row>
    <row r="86" spans="1:47" x14ac:dyDescent="0.25">
      <c r="B86" s="248" t="s">
        <v>383</v>
      </c>
      <c r="C86" s="21"/>
      <c r="G86" s="163"/>
      <c r="H86" s="119"/>
      <c r="I86" s="164"/>
      <c r="K86" s="198"/>
      <c r="L86" s="198"/>
      <c r="M86" s="167"/>
      <c r="N86" s="167"/>
      <c r="O86" s="167"/>
      <c r="P86" s="167"/>
      <c r="R86" s="124"/>
      <c r="S86" s="124"/>
      <c r="T86" s="124"/>
      <c r="U86" s="124"/>
      <c r="V86" s="124"/>
      <c r="W86" s="124"/>
      <c r="X86" s="124"/>
      <c r="Y86" s="75"/>
      <c r="Z86" s="6"/>
      <c r="AA86" s="6"/>
      <c r="AB86" s="6"/>
      <c r="AC86" s="6"/>
      <c r="AD86" s="6"/>
      <c r="AE86" s="6"/>
      <c r="AF86" s="6"/>
      <c r="AG86" s="8"/>
      <c r="AI86" s="95"/>
      <c r="AK86" s="283"/>
      <c r="AL86" s="283"/>
      <c r="AM86" s="283"/>
      <c r="AN86" s="283"/>
      <c r="AO86" s="289"/>
      <c r="AP86" s="289"/>
      <c r="AQ86" s="289"/>
      <c r="AR86" s="289"/>
      <c r="AS86" s="289"/>
      <c r="AT86" s="289"/>
      <c r="AU86" s="283"/>
    </row>
    <row r="87" spans="1:47" x14ac:dyDescent="0.25">
      <c r="B87" s="270" t="s">
        <v>384</v>
      </c>
      <c r="C87" s="21"/>
      <c r="G87" s="167"/>
      <c r="H87" s="243"/>
      <c r="I87" s="120"/>
      <c r="K87" s="198"/>
      <c r="L87" s="198"/>
      <c r="M87" s="167"/>
      <c r="N87" s="167"/>
      <c r="O87" s="167"/>
      <c r="P87" s="167"/>
      <c r="Q87" s="160"/>
      <c r="R87" s="184"/>
      <c r="S87" s="184"/>
      <c r="T87" s="184"/>
      <c r="U87" s="184"/>
      <c r="V87" s="184"/>
      <c r="W87" s="184"/>
      <c r="X87" s="184"/>
      <c r="Y87" s="75"/>
      <c r="Z87" s="6"/>
      <c r="AA87" s="6"/>
      <c r="AB87" s="6"/>
      <c r="AC87" s="6"/>
      <c r="AD87" s="6"/>
      <c r="AE87" s="6"/>
      <c r="AF87" s="6"/>
      <c r="AG87" s="8"/>
      <c r="AI87" s="95"/>
      <c r="AK87" s="283"/>
      <c r="AL87" s="283"/>
      <c r="AM87" s="283"/>
      <c r="AN87" s="283"/>
      <c r="AO87" s="289"/>
      <c r="AP87" s="289"/>
      <c r="AQ87" s="289"/>
      <c r="AR87" s="289"/>
      <c r="AS87" s="289"/>
      <c r="AT87" s="289"/>
      <c r="AU87" s="283"/>
    </row>
    <row r="88" spans="1:47" x14ac:dyDescent="0.25">
      <c r="B88" s="117"/>
      <c r="C88" s="264" t="s">
        <v>391</v>
      </c>
      <c r="D88" s="21" t="str">
        <f>INDEX(Unit_Rates!$C$7:$K$116,MATCH($C88,Unit_Rates!$C$7:$C$116,0),5)</f>
        <v>Distribution system assets</v>
      </c>
      <c r="E88" s="21" t="str">
        <f>INDEX(Unit_Rates!$C$7:$K$116,MATCH($C88,Unit_Rates!$C$7:$C$116,0),6)</f>
        <v>Replacement</v>
      </c>
      <c r="F88" s="21" t="str">
        <f t="shared" ref="F88:F90" si="68">D88&amp;E88</f>
        <v>Distribution system assetsReplacement</v>
      </c>
      <c r="G88" s="167">
        <f>INDEX(Unit_Rates!$C$7:$K$116,MATCH($C88,Unit_Rates!$C$7:$C$116,0),7)</f>
        <v>6.06</v>
      </c>
      <c r="H88" s="284"/>
      <c r="I88" s="245" t="s">
        <v>278</v>
      </c>
      <c r="J88" s="106"/>
      <c r="K88" s="167">
        <f t="shared" ref="K88:K90" si="69">G88*H88</f>
        <v>0</v>
      </c>
      <c r="L88" s="167">
        <f t="shared" ref="L88:L90" si="70">SUMPRODUCT(R$5:X$5,R88:X88)/Thousands</f>
        <v>0</v>
      </c>
      <c r="M88" s="167"/>
      <c r="N88" s="167">
        <f>$H88*INDEX(Unit_Rates!$C$7:$K$116,MATCH($C88,Unit_Rates!$C$7:$C$116,0),8)</f>
        <v>0</v>
      </c>
      <c r="O88" s="167">
        <f>$H88*INDEX(Unit_Rates!$C$7:$K$116,MATCH($C88,Unit_Rates!$C$7:$C$116,0),9)</f>
        <v>0</v>
      </c>
      <c r="P88" s="167">
        <f t="shared" ref="P88:P90" si="71">SUM(K88:O88)</f>
        <v>0</v>
      </c>
      <c r="Q88" s="250">
        <f>P88-H88*VLOOKUP(C88,Unit_Rates!$C$7:$E$116,3,FALSE)</f>
        <v>0</v>
      </c>
      <c r="R88" s="131">
        <v>0</v>
      </c>
      <c r="S88" s="131">
        <v>0</v>
      </c>
      <c r="T88" s="131">
        <v>0</v>
      </c>
      <c r="U88" s="131">
        <v>0</v>
      </c>
      <c r="V88" s="131">
        <v>0</v>
      </c>
      <c r="W88" s="131">
        <v>0</v>
      </c>
      <c r="X88" s="131">
        <v>0</v>
      </c>
      <c r="Y88" s="241">
        <f t="shared" ref="Y88:Y90" si="72">SUM(R88:X88)</f>
        <v>0</v>
      </c>
      <c r="Z88" s="6"/>
      <c r="AA88" s="6"/>
      <c r="AB88" s="6"/>
      <c r="AC88" s="6"/>
      <c r="AD88" s="6"/>
      <c r="AE88" s="6"/>
      <c r="AF88" s="6"/>
      <c r="AG88" s="8"/>
      <c r="AI88" s="95"/>
      <c r="AK88" s="283"/>
      <c r="AL88" s="283"/>
      <c r="AM88" s="283"/>
      <c r="AN88" s="283"/>
      <c r="AO88" s="289"/>
      <c r="AP88" s="289"/>
      <c r="AQ88" s="289"/>
      <c r="AR88" s="289"/>
      <c r="AS88" s="289"/>
      <c r="AT88" s="289"/>
      <c r="AU88" s="283"/>
    </row>
    <row r="89" spans="1:47" x14ac:dyDescent="0.25">
      <c r="B89" s="117"/>
      <c r="C89" s="264" t="s">
        <v>370</v>
      </c>
      <c r="D89" s="21" t="str">
        <f>INDEX(Unit_Rates!$C$7:$K$116,MATCH($C89,Unit_Rates!$C$7:$C$116,0),5)</f>
        <v>Subtransmission</v>
      </c>
      <c r="E89" s="21" t="str">
        <f>INDEX(Unit_Rates!$C$7:$K$116,MATCH($C89,Unit_Rates!$C$7:$C$116,0),6)</f>
        <v>Augmentation</v>
      </c>
      <c r="F89" s="21" t="str">
        <f t="shared" ref="F89" si="73">D89&amp;E89</f>
        <v>SubtransmissionAugmentation</v>
      </c>
      <c r="G89" s="167">
        <f>INDEX(Unit_Rates!$C$7:$K$116,MATCH($C89,Unit_Rates!$C$7:$C$116,0),7)</f>
        <v>18.997386759581939</v>
      </c>
      <c r="H89" s="284"/>
      <c r="I89" s="245" t="s">
        <v>278</v>
      </c>
      <c r="J89" s="106"/>
      <c r="K89" s="167">
        <f t="shared" ref="K89" si="74">G89*H89</f>
        <v>0</v>
      </c>
      <c r="L89" s="167">
        <f t="shared" ref="L89" si="75">SUMPRODUCT(R$5:X$5,R89:X89)/Thousands</f>
        <v>0</v>
      </c>
      <c r="M89" s="167"/>
      <c r="N89" s="167">
        <f>$H89*INDEX(Unit_Rates!$C$7:$K$116,MATCH($C89,Unit_Rates!$C$7:$C$116,0),8)</f>
        <v>0</v>
      </c>
      <c r="O89" s="167">
        <f>$H89*INDEX(Unit_Rates!$C$7:$K$116,MATCH($C89,Unit_Rates!$C$7:$C$116,0),9)</f>
        <v>0</v>
      </c>
      <c r="P89" s="167">
        <f t="shared" ref="P89" si="76">SUM(K89:O89)</f>
        <v>0</v>
      </c>
      <c r="Q89" s="250">
        <f>P89-H89*VLOOKUP(C89,Unit_Rates!$C$7:$E$116,3,FALSE)</f>
        <v>0</v>
      </c>
      <c r="R89" s="131">
        <v>0</v>
      </c>
      <c r="S89" s="131">
        <v>0</v>
      </c>
      <c r="T89" s="131">
        <v>0</v>
      </c>
      <c r="U89" s="131">
        <v>0</v>
      </c>
      <c r="V89" s="131">
        <v>0</v>
      </c>
      <c r="W89" s="131">
        <v>0</v>
      </c>
      <c r="X89" s="131">
        <v>0</v>
      </c>
      <c r="Y89" s="241">
        <f t="shared" ref="Y89" si="77">SUM(R89:X89)</f>
        <v>0</v>
      </c>
      <c r="Z89" s="6"/>
      <c r="AA89" s="6"/>
      <c r="AB89" s="6"/>
      <c r="AC89" s="6"/>
      <c r="AD89" s="6"/>
      <c r="AE89" s="6"/>
      <c r="AF89" s="6"/>
      <c r="AG89" s="8"/>
      <c r="AI89" s="95"/>
      <c r="AK89" s="283"/>
      <c r="AL89" s="288"/>
      <c r="AM89" s="283"/>
      <c r="AN89" s="283"/>
      <c r="AO89" s="289"/>
      <c r="AP89" s="289"/>
      <c r="AQ89" s="289"/>
      <c r="AR89" s="289"/>
      <c r="AS89" s="289"/>
      <c r="AT89" s="289"/>
      <c r="AU89" s="283"/>
    </row>
    <row r="90" spans="1:47" x14ac:dyDescent="0.25">
      <c r="B90" s="117"/>
      <c r="C90" s="21" t="s">
        <v>216</v>
      </c>
      <c r="D90" s="21" t="str">
        <f>Unit_Rates!G$132</f>
        <v>Distribution system assets</v>
      </c>
      <c r="E90" s="21" t="str">
        <f>Unit_Rates!H$132</f>
        <v>Augmentation</v>
      </c>
      <c r="F90" s="21" t="str">
        <f t="shared" si="68"/>
        <v>Distribution system assetsAugmentation</v>
      </c>
      <c r="G90" s="167">
        <f>Unit_Rates!I$132</f>
        <v>22.603922249219018</v>
      </c>
      <c r="H90" s="284"/>
      <c r="I90" s="245" t="s">
        <v>278</v>
      </c>
      <c r="J90" s="106"/>
      <c r="K90" s="167">
        <f t="shared" si="69"/>
        <v>0</v>
      </c>
      <c r="L90" s="167">
        <f t="shared" si="70"/>
        <v>0</v>
      </c>
      <c r="M90" s="167">
        <f>$H90*Unit_Rates!K$132</f>
        <v>0</v>
      </c>
      <c r="N90" s="167">
        <f>$H90*Unit_Rates!L$132</f>
        <v>0</v>
      </c>
      <c r="O90" s="167">
        <f>$H90*Unit_Rates!M$132</f>
        <v>0</v>
      </c>
      <c r="P90" s="167">
        <f t="shared" si="71"/>
        <v>0</v>
      </c>
      <c r="Q90" s="250">
        <f>P90-H90*VLOOKUP(C90,Unit_Rates!$C$7:$E$135,3,FALSE)</f>
        <v>0</v>
      </c>
      <c r="R90" s="131">
        <f>$H90*Z90*Unit_Rates!$J$132*1000/R$5</f>
        <v>0</v>
      </c>
      <c r="S90" s="131">
        <f>$H90*AA90*Unit_Rates!$J$132*1000/S$5</f>
        <v>0</v>
      </c>
      <c r="T90" s="131">
        <f>$H90*AB90*Unit_Rates!$J$132*1000/T$5</f>
        <v>0</v>
      </c>
      <c r="U90" s="131">
        <v>0</v>
      </c>
      <c r="V90" s="131">
        <v>0</v>
      </c>
      <c r="W90" s="131">
        <v>0</v>
      </c>
      <c r="X90" s="131">
        <v>0</v>
      </c>
      <c r="Y90" s="241">
        <f t="shared" si="72"/>
        <v>0</v>
      </c>
      <c r="Z90" s="6">
        <v>0.30314923274650007</v>
      </c>
      <c r="AA90" s="6">
        <v>0.32449777026385923</v>
      </c>
      <c r="AB90" s="324">
        <v>0.37235299698964058</v>
      </c>
      <c r="AC90" s="6"/>
      <c r="AD90" s="6"/>
      <c r="AE90" s="6"/>
      <c r="AF90" s="6"/>
      <c r="AG90" s="8"/>
      <c r="AI90" s="95"/>
      <c r="AK90" s="283"/>
      <c r="AL90" s="283"/>
      <c r="AM90" s="283"/>
      <c r="AN90" s="283"/>
      <c r="AO90" s="289"/>
      <c r="AP90" s="289"/>
      <c r="AQ90" s="289"/>
      <c r="AR90" s="289"/>
      <c r="AS90" s="289"/>
      <c r="AT90" s="289"/>
      <c r="AU90" s="283"/>
    </row>
    <row r="91" spans="1:47" x14ac:dyDescent="0.25">
      <c r="B91" s="117"/>
      <c r="C91" s="21" t="s">
        <v>386</v>
      </c>
      <c r="D91" s="21" t="str">
        <f>INDEX(Unit_Rates!$C$7:$K$116,MATCH($C91,Unit_Rates!$C$7:$C$116,0),5)</f>
        <v>Distribution system assets</v>
      </c>
      <c r="E91" s="21" t="str">
        <f>INDEX(Unit_Rates!$C$7:$K$116,MATCH($C91,Unit_Rates!$C$7:$C$116,0),6)</f>
        <v>Augmentation</v>
      </c>
      <c r="F91" s="21" t="str">
        <f t="shared" ref="F91" si="78">D91&amp;E91</f>
        <v>Distribution system assetsAugmentation</v>
      </c>
      <c r="G91" s="167">
        <f>INDEX(Unit_Rates!$C$7:$K$116,MATCH($C91,Unit_Rates!$C$7:$C$116,0),7)</f>
        <v>4.3774577767537882E-2</v>
      </c>
      <c r="H91" s="280"/>
      <c r="I91" s="120" t="s">
        <v>279</v>
      </c>
      <c r="K91" s="215">
        <f t="shared" ref="K91" si="79">G91*H91</f>
        <v>0</v>
      </c>
      <c r="L91" s="215">
        <f>SUMPRODUCT(R$5:X$5,R91:X91)/Thousands</f>
        <v>0</v>
      </c>
      <c r="M91" s="197"/>
      <c r="N91" s="197">
        <f>$H91*INDEX(Unit_Rates!$C$7:$K$116,MATCH($C91,Unit_Rates!$C$7:$C$116,0),8)</f>
        <v>0</v>
      </c>
      <c r="O91" s="197">
        <f>$H91*INDEX(Unit_Rates!$C$7:$K$116,MATCH($C91,Unit_Rates!$C$7:$C$116,0),9)</f>
        <v>0</v>
      </c>
      <c r="P91" s="197">
        <f t="shared" ref="P91" si="80">SUM(K91:O91)</f>
        <v>0</v>
      </c>
      <c r="Q91" s="250">
        <f>P91-H91*VLOOKUP(C91,Unit_Rates!$C$7:$E$116,3,FALSE)</f>
        <v>0</v>
      </c>
      <c r="R91" s="131">
        <v>0</v>
      </c>
      <c r="S91" s="131">
        <v>0</v>
      </c>
      <c r="T91" s="131">
        <v>0</v>
      </c>
      <c r="U91" s="131">
        <v>0</v>
      </c>
      <c r="V91" s="131">
        <v>0</v>
      </c>
      <c r="W91" s="131">
        <v>0</v>
      </c>
      <c r="X91" s="131">
        <v>0</v>
      </c>
      <c r="Y91" s="241">
        <f t="shared" ref="Y91" si="81">SUM(R91:X91)</f>
        <v>0</v>
      </c>
      <c r="Z91" s="6"/>
      <c r="AA91" s="6"/>
      <c r="AB91" s="6"/>
      <c r="AC91" s="6"/>
      <c r="AD91" s="6"/>
      <c r="AE91" s="6"/>
      <c r="AF91" s="6"/>
      <c r="AI91" s="95"/>
      <c r="AK91" s="283"/>
      <c r="AL91" s="283"/>
      <c r="AM91" s="283"/>
      <c r="AN91" s="283"/>
      <c r="AO91" s="289"/>
      <c r="AP91" s="289"/>
      <c r="AQ91" s="289"/>
      <c r="AR91" s="289"/>
      <c r="AS91" s="289"/>
      <c r="AT91" s="289"/>
      <c r="AU91" s="283"/>
    </row>
    <row r="92" spans="1:47" x14ac:dyDescent="0.25">
      <c r="B92" s="117"/>
      <c r="C92" s="21" t="s">
        <v>385</v>
      </c>
      <c r="G92" s="163"/>
      <c r="H92" s="244"/>
      <c r="I92" s="120"/>
      <c r="K92" s="198">
        <f t="shared" ref="K92:P92" si="82">SUM(K87:K91)</f>
        <v>0</v>
      </c>
      <c r="L92" s="198">
        <f t="shared" si="82"/>
        <v>0</v>
      </c>
      <c r="M92" s="198">
        <f t="shared" si="82"/>
        <v>0</v>
      </c>
      <c r="N92" s="198">
        <f t="shared" si="82"/>
        <v>0</v>
      </c>
      <c r="O92" s="198">
        <f t="shared" si="82"/>
        <v>0</v>
      </c>
      <c r="P92" s="198">
        <f t="shared" si="82"/>
        <v>0</v>
      </c>
      <c r="Q92" s="149"/>
      <c r="Y92" s="75"/>
      <c r="Z92" s="6"/>
      <c r="AA92" s="6"/>
      <c r="AB92" s="6"/>
      <c r="AC92" s="6"/>
      <c r="AD92" s="6"/>
      <c r="AE92" s="6"/>
      <c r="AF92" s="6"/>
      <c r="AG92" s="8"/>
      <c r="AI92" s="95"/>
      <c r="AK92" s="283"/>
      <c r="AL92" s="283"/>
      <c r="AM92" s="283"/>
      <c r="AN92" s="283"/>
      <c r="AO92" s="283"/>
      <c r="AP92" s="283"/>
      <c r="AQ92" s="283"/>
      <c r="AR92" s="283"/>
      <c r="AS92" s="283"/>
      <c r="AT92" s="283"/>
      <c r="AU92" s="283"/>
    </row>
    <row r="93" spans="1:47" x14ac:dyDescent="0.25">
      <c r="B93" s="117"/>
      <c r="C93" s="21"/>
      <c r="G93" s="163"/>
      <c r="H93" s="244"/>
      <c r="I93" s="120"/>
      <c r="K93" s="198"/>
      <c r="L93" s="198"/>
      <c r="M93" s="167"/>
      <c r="N93" s="167"/>
      <c r="O93" s="167"/>
      <c r="P93" s="196"/>
      <c r="Q93" s="149"/>
      <c r="Y93" s="75"/>
      <c r="Z93" s="6"/>
      <c r="AA93" s="6"/>
      <c r="AB93" s="6"/>
      <c r="AC93" s="6"/>
      <c r="AD93" s="6"/>
      <c r="AE93" s="6"/>
      <c r="AF93" s="6"/>
      <c r="AG93" s="8"/>
      <c r="AI93" s="95"/>
      <c r="AL93" s="333"/>
      <c r="AU93" s="283"/>
    </row>
    <row r="94" spans="1:47" x14ac:dyDescent="0.25">
      <c r="B94" s="117" t="s">
        <v>292</v>
      </c>
      <c r="G94" s="164"/>
      <c r="H94" s="82"/>
      <c r="I94" s="164"/>
      <c r="K94" s="278">
        <f t="shared" ref="K94:P94" si="83">K92+K84</f>
        <v>0</v>
      </c>
      <c r="L94" s="278">
        <f t="shared" si="83"/>
        <v>0</v>
      </c>
      <c r="M94" s="279">
        <f t="shared" si="83"/>
        <v>0</v>
      </c>
      <c r="N94" s="279">
        <f t="shared" si="83"/>
        <v>0</v>
      </c>
      <c r="O94" s="279">
        <f t="shared" si="83"/>
        <v>0</v>
      </c>
      <c r="P94" s="279">
        <f t="shared" si="83"/>
        <v>0</v>
      </c>
      <c r="R94" s="202"/>
      <c r="S94" s="202"/>
      <c r="T94" s="202"/>
      <c r="Z94" s="8"/>
      <c r="AA94" s="8"/>
      <c r="AB94" s="8"/>
      <c r="AU94" s="283"/>
    </row>
    <row r="95" spans="1:47" x14ac:dyDescent="0.25">
      <c r="B95" s="187" t="s">
        <v>289</v>
      </c>
      <c r="C95" s="100"/>
      <c r="D95" s="100"/>
      <c r="E95" s="100"/>
      <c r="F95" s="100"/>
      <c r="G95" s="100"/>
      <c r="H95" s="100"/>
      <c r="I95" s="100"/>
      <c r="J95" s="100"/>
      <c r="K95" s="203">
        <v>0</v>
      </c>
      <c r="L95" s="203">
        <v>0</v>
      </c>
      <c r="M95" s="203">
        <v>0</v>
      </c>
      <c r="N95" s="203">
        <v>0</v>
      </c>
      <c r="O95" s="203">
        <v>0</v>
      </c>
      <c r="P95" s="204">
        <v>0</v>
      </c>
      <c r="Q95" s="160"/>
      <c r="AK95" s="283"/>
      <c r="AL95" s="283"/>
      <c r="AM95" s="283"/>
      <c r="AN95" s="283"/>
      <c r="AO95" s="289"/>
      <c r="AP95" s="289"/>
      <c r="AQ95" s="289"/>
      <c r="AR95" s="289"/>
      <c r="AS95" s="289"/>
      <c r="AT95" s="289"/>
      <c r="AU95" s="283"/>
    </row>
    <row r="96" spans="1:47" x14ac:dyDescent="0.25">
      <c r="B96" s="117" t="s">
        <v>30</v>
      </c>
      <c r="C96" s="3"/>
      <c r="D96" s="3"/>
      <c r="E96" s="3"/>
      <c r="F96" s="3"/>
      <c r="G96" s="3"/>
      <c r="H96" s="3"/>
      <c r="I96" s="3"/>
      <c r="J96" s="3"/>
      <c r="K96" s="275">
        <f t="shared" ref="K96:P96" si="84">K75+K94</f>
        <v>0</v>
      </c>
      <c r="L96" s="275">
        <f t="shared" si="84"/>
        <v>0</v>
      </c>
      <c r="M96" s="276">
        <f t="shared" si="84"/>
        <v>0</v>
      </c>
      <c r="N96" s="276">
        <f t="shared" si="84"/>
        <v>0</v>
      </c>
      <c r="O96" s="276">
        <f t="shared" si="84"/>
        <v>0</v>
      </c>
      <c r="P96" s="277">
        <f t="shared" si="84"/>
        <v>0</v>
      </c>
      <c r="AK96" s="283"/>
      <c r="AL96" s="283"/>
      <c r="AM96" s="283"/>
      <c r="AN96" s="283"/>
      <c r="AO96" s="289"/>
      <c r="AP96" s="289"/>
      <c r="AQ96" s="289"/>
      <c r="AR96" s="289"/>
      <c r="AS96" s="289"/>
      <c r="AT96" s="289"/>
      <c r="AU96" s="283"/>
    </row>
    <row r="97" spans="2:47" x14ac:dyDescent="0.25">
      <c r="B97" s="205" t="s">
        <v>289</v>
      </c>
      <c r="C97" s="206"/>
      <c r="D97" s="206"/>
      <c r="E97" s="206"/>
      <c r="F97" s="206"/>
      <c r="G97" s="206"/>
      <c r="H97" s="206"/>
      <c r="I97" s="206"/>
      <c r="J97" s="206"/>
      <c r="K97" s="207">
        <v>0</v>
      </c>
      <c r="L97" s="207">
        <v>0</v>
      </c>
      <c r="M97" s="208">
        <v>0</v>
      </c>
      <c r="N97" s="208">
        <v>0</v>
      </c>
      <c r="O97" s="208">
        <v>0</v>
      </c>
      <c r="P97" s="296">
        <v>0</v>
      </c>
      <c r="Q97" s="255"/>
      <c r="AB97" s="179"/>
      <c r="AK97" s="283"/>
      <c r="AL97" s="283"/>
      <c r="AM97" s="283"/>
      <c r="AN97" s="283"/>
      <c r="AO97" s="289"/>
      <c r="AP97" s="289"/>
      <c r="AQ97" s="289"/>
      <c r="AR97" s="289"/>
      <c r="AS97" s="289"/>
      <c r="AT97" s="289"/>
      <c r="AU97" s="283"/>
    </row>
    <row r="98" spans="2:47" x14ac:dyDescent="0.25">
      <c r="O98" s="256"/>
      <c r="P98" s="257"/>
      <c r="AK98" s="283"/>
      <c r="AL98" s="283"/>
      <c r="AM98" s="283"/>
      <c r="AN98" s="283"/>
      <c r="AO98" s="289"/>
      <c r="AP98" s="289"/>
      <c r="AQ98" s="289"/>
      <c r="AR98" s="289"/>
      <c r="AS98" s="289"/>
      <c r="AT98" s="289"/>
      <c r="AU98" s="283"/>
    </row>
    <row r="99" spans="2:47" x14ac:dyDescent="0.25">
      <c r="O99" s="242"/>
      <c r="P99" s="258"/>
      <c r="AK99" s="283"/>
      <c r="AL99" s="283"/>
      <c r="AM99" s="283"/>
      <c r="AN99" s="283"/>
      <c r="AO99" s="289"/>
      <c r="AP99" s="289"/>
      <c r="AQ99" s="289"/>
      <c r="AR99" s="289"/>
      <c r="AS99" s="289"/>
      <c r="AT99" s="289"/>
      <c r="AU99" s="283"/>
    </row>
    <row r="100" spans="2:47" x14ac:dyDescent="0.25">
      <c r="C100" t="s">
        <v>453</v>
      </c>
      <c r="D100" t="s">
        <v>3</v>
      </c>
      <c r="E100" t="s">
        <v>25</v>
      </c>
      <c r="F100" s="21" t="str">
        <f t="shared" ref="F100:F122" si="85">D100&amp;E100</f>
        <v>SubtransmissionAugmentation</v>
      </c>
      <c r="K100" s="212">
        <f t="shared" ref="K100:O104" si="86">SUMIF($F$17:$F$73,$F100,K$17:K$73)</f>
        <v>0</v>
      </c>
      <c r="L100" s="212">
        <f t="shared" si="86"/>
        <v>0</v>
      </c>
      <c r="M100" s="213">
        <f t="shared" si="86"/>
        <v>0</v>
      </c>
      <c r="N100" s="213">
        <f t="shared" si="86"/>
        <v>0</v>
      </c>
      <c r="O100" s="213">
        <f t="shared" si="86"/>
        <v>0</v>
      </c>
      <c r="P100" s="213">
        <f>SUM(K100:O100)</f>
        <v>0</v>
      </c>
      <c r="AK100" s="283"/>
      <c r="AL100" s="283"/>
      <c r="AM100" s="283"/>
      <c r="AN100" s="283"/>
      <c r="AO100" s="289"/>
      <c r="AP100" s="289"/>
      <c r="AQ100" s="289"/>
      <c r="AR100" s="289"/>
      <c r="AS100" s="289"/>
      <c r="AT100" s="289"/>
      <c r="AU100" s="283"/>
    </row>
    <row r="101" spans="2:47" x14ac:dyDescent="0.25">
      <c r="D101" t="s">
        <v>3</v>
      </c>
      <c r="E101" t="s">
        <v>26</v>
      </c>
      <c r="F101" s="21" t="str">
        <f t="shared" si="85"/>
        <v>SubtransmissionReplacement</v>
      </c>
      <c r="K101" s="212">
        <f t="shared" si="86"/>
        <v>0</v>
      </c>
      <c r="L101" s="212">
        <f t="shared" si="86"/>
        <v>0</v>
      </c>
      <c r="M101" s="213">
        <f t="shared" si="86"/>
        <v>0</v>
      </c>
      <c r="N101" s="213">
        <f t="shared" si="86"/>
        <v>0</v>
      </c>
      <c r="O101" s="213">
        <f t="shared" si="86"/>
        <v>0</v>
      </c>
      <c r="P101" s="213">
        <f t="shared" ref="P101:P110" si="87">SUM(K101:O101)</f>
        <v>0</v>
      </c>
      <c r="AK101" s="283"/>
      <c r="AL101" s="283"/>
      <c r="AM101" s="283"/>
      <c r="AN101" s="283"/>
      <c r="AO101" s="289"/>
      <c r="AP101" s="289"/>
      <c r="AQ101" s="289"/>
      <c r="AR101" s="289"/>
      <c r="AS101" s="289"/>
      <c r="AT101" s="289"/>
      <c r="AU101" s="283"/>
    </row>
    <row r="102" spans="2:47" x14ac:dyDescent="0.25">
      <c r="D102" t="s">
        <v>2</v>
      </c>
      <c r="E102" t="s">
        <v>25</v>
      </c>
      <c r="F102" s="21" t="str">
        <f t="shared" si="85"/>
        <v>SCADA/Network controlAugmentation</v>
      </c>
      <c r="K102" s="212">
        <f t="shared" si="86"/>
        <v>0</v>
      </c>
      <c r="L102" s="212">
        <f t="shared" si="86"/>
        <v>0</v>
      </c>
      <c r="M102" s="213">
        <f t="shared" si="86"/>
        <v>0</v>
      </c>
      <c r="N102" s="213">
        <f t="shared" si="86"/>
        <v>0</v>
      </c>
      <c r="O102" s="213">
        <f t="shared" si="86"/>
        <v>0</v>
      </c>
      <c r="P102" s="213">
        <f t="shared" si="87"/>
        <v>0</v>
      </c>
      <c r="AK102" s="283"/>
      <c r="AL102" s="283"/>
      <c r="AM102" s="283"/>
      <c r="AN102" s="283"/>
      <c r="AO102" s="289"/>
      <c r="AP102" s="289"/>
      <c r="AQ102" s="289"/>
      <c r="AR102" s="289"/>
      <c r="AS102" s="289"/>
      <c r="AT102" s="289"/>
      <c r="AU102" s="283"/>
    </row>
    <row r="103" spans="2:47" x14ac:dyDescent="0.25">
      <c r="D103" t="s">
        <v>2</v>
      </c>
      <c r="E103" t="s">
        <v>26</v>
      </c>
      <c r="F103" s="21" t="str">
        <f t="shared" si="85"/>
        <v>SCADA/Network controlReplacement</v>
      </c>
      <c r="K103" s="212">
        <f t="shared" si="86"/>
        <v>0</v>
      </c>
      <c r="L103" s="212">
        <f t="shared" si="86"/>
        <v>0</v>
      </c>
      <c r="M103" s="213">
        <f t="shared" si="86"/>
        <v>0</v>
      </c>
      <c r="N103" s="213">
        <f t="shared" si="86"/>
        <v>0</v>
      </c>
      <c r="O103" s="213">
        <f t="shared" si="86"/>
        <v>0</v>
      </c>
      <c r="P103" s="213">
        <f t="shared" si="87"/>
        <v>0</v>
      </c>
      <c r="AK103" s="282"/>
      <c r="AL103" s="283"/>
      <c r="AM103" s="283"/>
      <c r="AN103" s="283"/>
      <c r="AO103" s="289"/>
      <c r="AP103" s="289"/>
      <c r="AQ103" s="289"/>
      <c r="AR103" s="289"/>
      <c r="AS103" s="289"/>
      <c r="AT103" s="289"/>
      <c r="AU103" s="283"/>
    </row>
    <row r="104" spans="2:47" x14ac:dyDescent="0.25">
      <c r="D104" t="s">
        <v>4</v>
      </c>
      <c r="E104" t="s">
        <v>27</v>
      </c>
      <c r="F104" s="21" t="str">
        <f t="shared" si="85"/>
        <v>LandNon-Network</v>
      </c>
      <c r="K104" s="272">
        <f t="shared" si="86"/>
        <v>0</v>
      </c>
      <c r="L104" s="272">
        <f t="shared" si="86"/>
        <v>0</v>
      </c>
      <c r="M104" s="273">
        <f t="shared" si="86"/>
        <v>0</v>
      </c>
      <c r="N104" s="273">
        <f t="shared" si="86"/>
        <v>0</v>
      </c>
      <c r="O104" s="273">
        <f t="shared" si="86"/>
        <v>0</v>
      </c>
      <c r="P104" s="273">
        <f t="shared" si="87"/>
        <v>0</v>
      </c>
      <c r="AK104" s="283"/>
      <c r="AL104" s="283"/>
      <c r="AM104" s="283"/>
      <c r="AN104" s="283"/>
      <c r="AO104" s="283"/>
      <c r="AP104" s="283"/>
      <c r="AQ104" s="283"/>
      <c r="AR104" s="283"/>
      <c r="AS104" s="283"/>
      <c r="AT104" s="283"/>
      <c r="AU104" s="283"/>
    </row>
    <row r="105" spans="2:47" x14ac:dyDescent="0.25">
      <c r="K105" s="212">
        <f>SUM(K100:K104)</f>
        <v>0</v>
      </c>
      <c r="L105" s="212">
        <f t="shared" ref="L105:P105" si="88">SUM(L100:L104)</f>
        <v>0</v>
      </c>
      <c r="M105" s="213">
        <f t="shared" si="88"/>
        <v>0</v>
      </c>
      <c r="N105" s="213">
        <f t="shared" si="88"/>
        <v>0</v>
      </c>
      <c r="O105" s="213">
        <f t="shared" si="88"/>
        <v>0</v>
      </c>
      <c r="P105" s="213">
        <f t="shared" si="88"/>
        <v>0</v>
      </c>
      <c r="AL105" s="333"/>
      <c r="AU105" s="283"/>
    </row>
    <row r="106" spans="2:47" x14ac:dyDescent="0.25">
      <c r="C106" t="s">
        <v>293</v>
      </c>
      <c r="D106" t="s">
        <v>3</v>
      </c>
      <c r="E106" t="s">
        <v>25</v>
      </c>
      <c r="F106" s="21" t="str">
        <f t="shared" ref="F106:F110" si="89">D106&amp;E106</f>
        <v>SubtransmissionAugmentation</v>
      </c>
      <c r="K106" s="4"/>
      <c r="L106" s="212">
        <f t="shared" ref="L106:N110" si="90">IF(ISERROR($P100/$P$105*SUM(L$7:L$13)),0,$P100/$P$105*SUM(L$7:L$13))</f>
        <v>0</v>
      </c>
      <c r="M106" s="213">
        <f t="shared" si="90"/>
        <v>0</v>
      </c>
      <c r="N106" s="213">
        <f t="shared" si="90"/>
        <v>0</v>
      </c>
      <c r="O106" s="209"/>
      <c r="P106" s="213">
        <f>SUM(K106:O106)</f>
        <v>0</v>
      </c>
      <c r="AU106" s="283"/>
    </row>
    <row r="107" spans="2:47" x14ac:dyDescent="0.25">
      <c r="D107" t="s">
        <v>3</v>
      </c>
      <c r="E107" t="s">
        <v>26</v>
      </c>
      <c r="F107" s="21" t="str">
        <f t="shared" si="89"/>
        <v>SubtransmissionReplacement</v>
      </c>
      <c r="K107" s="4"/>
      <c r="L107" s="212">
        <f t="shared" si="90"/>
        <v>0</v>
      </c>
      <c r="M107" s="213">
        <f t="shared" si="90"/>
        <v>0</v>
      </c>
      <c r="N107" s="213">
        <f t="shared" si="90"/>
        <v>0</v>
      </c>
      <c r="O107" s="209"/>
      <c r="P107" s="213">
        <f t="shared" si="87"/>
        <v>0</v>
      </c>
      <c r="AK107" s="283"/>
      <c r="AL107" s="283"/>
      <c r="AM107" s="283"/>
      <c r="AN107" s="283"/>
      <c r="AO107" s="289"/>
      <c r="AP107" s="289"/>
      <c r="AQ107" s="289"/>
      <c r="AR107" s="289"/>
      <c r="AS107" s="289"/>
      <c r="AT107" s="289"/>
      <c r="AU107" s="283"/>
    </row>
    <row r="108" spans="2:47" x14ac:dyDescent="0.25">
      <c r="D108" t="s">
        <v>2</v>
      </c>
      <c r="E108" t="s">
        <v>25</v>
      </c>
      <c r="F108" s="21" t="str">
        <f t="shared" si="89"/>
        <v>SCADA/Network controlAugmentation</v>
      </c>
      <c r="K108" s="4"/>
      <c r="L108" s="212">
        <f t="shared" si="90"/>
        <v>0</v>
      </c>
      <c r="M108" s="213">
        <f t="shared" si="90"/>
        <v>0</v>
      </c>
      <c r="N108" s="213">
        <f t="shared" si="90"/>
        <v>0</v>
      </c>
      <c r="O108" s="209"/>
      <c r="P108" s="213">
        <f t="shared" si="87"/>
        <v>0</v>
      </c>
      <c r="AK108" s="283"/>
      <c r="AL108" s="283"/>
      <c r="AM108" s="283"/>
      <c r="AN108" s="283"/>
      <c r="AO108" s="289"/>
      <c r="AP108" s="289"/>
      <c r="AQ108" s="289"/>
      <c r="AR108" s="289"/>
      <c r="AS108" s="289"/>
      <c r="AT108" s="289"/>
      <c r="AU108" s="283"/>
    </row>
    <row r="109" spans="2:47" outlineLevel="1" x14ac:dyDescent="0.25">
      <c r="D109" t="s">
        <v>2</v>
      </c>
      <c r="E109" t="s">
        <v>26</v>
      </c>
      <c r="F109" s="21" t="str">
        <f t="shared" si="89"/>
        <v>SCADA/Network controlReplacement</v>
      </c>
      <c r="K109" s="4"/>
      <c r="L109" s="212">
        <f t="shared" si="90"/>
        <v>0</v>
      </c>
      <c r="M109" s="213">
        <f t="shared" si="90"/>
        <v>0</v>
      </c>
      <c r="N109" s="213">
        <f t="shared" si="90"/>
        <v>0</v>
      </c>
      <c r="O109" s="209"/>
      <c r="P109" s="213">
        <f t="shared" si="87"/>
        <v>0</v>
      </c>
      <c r="AO109" s="289"/>
      <c r="AP109" s="289"/>
      <c r="AQ109" s="289"/>
      <c r="AR109" s="289"/>
      <c r="AS109" s="289"/>
      <c r="AT109" s="289"/>
    </row>
    <row r="110" spans="2:47" outlineLevel="1" x14ac:dyDescent="0.25">
      <c r="D110" t="s">
        <v>4</v>
      </c>
      <c r="E110" t="s">
        <v>27</v>
      </c>
      <c r="F110" s="21" t="str">
        <f t="shared" si="89"/>
        <v>LandNon-Network</v>
      </c>
      <c r="K110" s="210"/>
      <c r="L110" s="272">
        <f t="shared" si="90"/>
        <v>0</v>
      </c>
      <c r="M110" s="273">
        <f t="shared" si="90"/>
        <v>0</v>
      </c>
      <c r="N110" s="273">
        <f t="shared" si="90"/>
        <v>0</v>
      </c>
      <c r="O110" s="211"/>
      <c r="P110" s="273">
        <f t="shared" si="87"/>
        <v>0</v>
      </c>
      <c r="AO110" s="289"/>
      <c r="AP110" s="289"/>
      <c r="AQ110" s="289"/>
      <c r="AR110" s="289"/>
      <c r="AS110" s="289"/>
      <c r="AT110" s="289"/>
    </row>
    <row r="111" spans="2:47" outlineLevel="1" x14ac:dyDescent="0.25">
      <c r="K111" s="212">
        <f>SUM(K106:K110)</f>
        <v>0</v>
      </c>
      <c r="L111" s="212">
        <f t="shared" ref="L111:P111" si="91">SUM(L106:L110)</f>
        <v>0</v>
      </c>
      <c r="M111" s="213">
        <f t="shared" si="91"/>
        <v>0</v>
      </c>
      <c r="N111" s="213">
        <f t="shared" si="91"/>
        <v>0</v>
      </c>
      <c r="O111" s="213">
        <f t="shared" si="91"/>
        <v>0</v>
      </c>
      <c r="P111" s="213">
        <f t="shared" si="91"/>
        <v>0</v>
      </c>
      <c r="AO111" s="289"/>
      <c r="AP111" s="289"/>
      <c r="AQ111" s="289"/>
      <c r="AR111" s="289"/>
      <c r="AS111" s="289"/>
      <c r="AT111" s="289"/>
    </row>
    <row r="112" spans="2:47" outlineLevel="1" x14ac:dyDescent="0.25">
      <c r="C112" t="s">
        <v>454</v>
      </c>
      <c r="D112" t="s">
        <v>3</v>
      </c>
      <c r="E112" t="s">
        <v>25</v>
      </c>
      <c r="F112" s="21" t="str">
        <f t="shared" ref="F112:F116" si="92">D112&amp;E112</f>
        <v>SubtransmissionAugmentation</v>
      </c>
      <c r="K112" s="212">
        <f>K100+K106</f>
        <v>0</v>
      </c>
      <c r="L112" s="212">
        <f t="shared" ref="L112:P112" si="93">L100+L106</f>
        <v>0</v>
      </c>
      <c r="M112" s="213">
        <f t="shared" si="93"/>
        <v>0</v>
      </c>
      <c r="N112" s="213">
        <f t="shared" si="93"/>
        <v>0</v>
      </c>
      <c r="O112" s="213">
        <f t="shared" si="93"/>
        <v>0</v>
      </c>
      <c r="P112" s="213">
        <f t="shared" si="93"/>
        <v>0</v>
      </c>
      <c r="AO112" s="289"/>
      <c r="AP112" s="289"/>
      <c r="AQ112" s="289"/>
      <c r="AR112" s="289"/>
      <c r="AS112" s="289"/>
      <c r="AT112" s="289"/>
    </row>
    <row r="113" spans="1:46" outlineLevel="1" x14ac:dyDescent="0.25">
      <c r="D113" t="s">
        <v>3</v>
      </c>
      <c r="E113" t="s">
        <v>26</v>
      </c>
      <c r="F113" s="21" t="str">
        <f t="shared" si="92"/>
        <v>SubtransmissionReplacement</v>
      </c>
      <c r="K113" s="212">
        <f t="shared" ref="K113:P116" si="94">K101+K107</f>
        <v>0</v>
      </c>
      <c r="L113" s="212">
        <f t="shared" si="94"/>
        <v>0</v>
      </c>
      <c r="M113" s="213">
        <f t="shared" si="94"/>
        <v>0</v>
      </c>
      <c r="N113" s="213">
        <f t="shared" si="94"/>
        <v>0</v>
      </c>
      <c r="O113" s="213">
        <f t="shared" si="94"/>
        <v>0</v>
      </c>
      <c r="P113" s="213">
        <f t="shared" si="94"/>
        <v>0</v>
      </c>
      <c r="AO113" s="289"/>
      <c r="AP113" s="289"/>
      <c r="AQ113" s="289"/>
      <c r="AR113" s="289"/>
      <c r="AS113" s="289"/>
      <c r="AT113" s="289"/>
    </row>
    <row r="114" spans="1:46" outlineLevel="1" x14ac:dyDescent="0.25">
      <c r="D114" t="s">
        <v>2</v>
      </c>
      <c r="E114" t="s">
        <v>25</v>
      </c>
      <c r="F114" s="21" t="str">
        <f t="shared" si="92"/>
        <v>SCADA/Network controlAugmentation</v>
      </c>
      <c r="K114" s="212">
        <f t="shared" si="94"/>
        <v>0</v>
      </c>
      <c r="L114" s="212">
        <f t="shared" si="94"/>
        <v>0</v>
      </c>
      <c r="M114" s="213">
        <f t="shared" si="94"/>
        <v>0</v>
      </c>
      <c r="N114" s="213">
        <f t="shared" si="94"/>
        <v>0</v>
      </c>
      <c r="O114" s="213">
        <f t="shared" si="94"/>
        <v>0</v>
      </c>
      <c r="P114" s="213">
        <f t="shared" si="94"/>
        <v>0</v>
      </c>
      <c r="AO114" s="289"/>
      <c r="AP114" s="289"/>
      <c r="AQ114" s="289"/>
      <c r="AR114" s="289"/>
      <c r="AS114" s="289"/>
      <c r="AT114" s="289"/>
    </row>
    <row r="115" spans="1:46" outlineLevel="1" x14ac:dyDescent="0.25">
      <c r="D115" t="s">
        <v>2</v>
      </c>
      <c r="E115" t="s">
        <v>26</v>
      </c>
      <c r="F115" s="21" t="str">
        <f t="shared" si="92"/>
        <v>SCADA/Network controlReplacement</v>
      </c>
      <c r="K115" s="212">
        <f t="shared" si="94"/>
        <v>0</v>
      </c>
      <c r="L115" s="212">
        <f t="shared" si="94"/>
        <v>0</v>
      </c>
      <c r="M115" s="213">
        <f t="shared" si="94"/>
        <v>0</v>
      </c>
      <c r="N115" s="213">
        <f t="shared" si="94"/>
        <v>0</v>
      </c>
      <c r="O115" s="213">
        <f t="shared" si="94"/>
        <v>0</v>
      </c>
      <c r="P115" s="213">
        <f t="shared" si="94"/>
        <v>0</v>
      </c>
      <c r="AO115" s="289"/>
      <c r="AP115" s="289"/>
      <c r="AQ115" s="289"/>
      <c r="AR115" s="289"/>
      <c r="AS115" s="289"/>
      <c r="AT115" s="289"/>
    </row>
    <row r="116" spans="1:46" outlineLevel="1" x14ac:dyDescent="0.25">
      <c r="D116" t="s">
        <v>4</v>
      </c>
      <c r="E116" t="s">
        <v>27</v>
      </c>
      <c r="F116" s="21" t="str">
        <f t="shared" si="92"/>
        <v>LandNon-Network</v>
      </c>
      <c r="K116" s="272">
        <f t="shared" si="94"/>
        <v>0</v>
      </c>
      <c r="L116" s="272">
        <f t="shared" si="94"/>
        <v>0</v>
      </c>
      <c r="M116" s="273">
        <f t="shared" si="94"/>
        <v>0</v>
      </c>
      <c r="N116" s="273">
        <f t="shared" si="94"/>
        <v>0</v>
      </c>
      <c r="O116" s="273">
        <f t="shared" si="94"/>
        <v>0</v>
      </c>
      <c r="P116" s="273">
        <f t="shared" si="94"/>
        <v>0</v>
      </c>
      <c r="AO116" s="289"/>
      <c r="AP116" s="289"/>
      <c r="AQ116" s="289"/>
      <c r="AR116" s="289"/>
      <c r="AS116" s="289"/>
      <c r="AT116" s="289"/>
    </row>
    <row r="117" spans="1:46" outlineLevel="1" x14ac:dyDescent="0.25">
      <c r="K117" s="212">
        <f>SUM(K112:K116)</f>
        <v>0</v>
      </c>
      <c r="L117" s="212">
        <f t="shared" ref="L117:P117" si="95">SUM(L112:L116)</f>
        <v>0</v>
      </c>
      <c r="M117" s="213">
        <f t="shared" si="95"/>
        <v>0</v>
      </c>
      <c r="N117" s="213">
        <f t="shared" si="95"/>
        <v>0</v>
      </c>
      <c r="O117" s="213">
        <f t="shared" si="95"/>
        <v>0</v>
      </c>
      <c r="P117" s="213">
        <f t="shared" si="95"/>
        <v>0</v>
      </c>
      <c r="AO117" s="289"/>
      <c r="AP117" s="289"/>
      <c r="AQ117" s="289"/>
      <c r="AR117" s="289"/>
      <c r="AS117" s="289"/>
      <c r="AT117" s="289"/>
    </row>
    <row r="118" spans="1:46" outlineLevel="1" x14ac:dyDescent="0.25">
      <c r="K118" s="94">
        <f t="shared" ref="K118:P118" si="96">K75-K117</f>
        <v>0</v>
      </c>
      <c r="L118" s="94">
        <f t="shared" si="96"/>
        <v>0</v>
      </c>
      <c r="M118" s="274">
        <f t="shared" si="96"/>
        <v>0</v>
      </c>
      <c r="N118" s="274">
        <f t="shared" si="96"/>
        <v>0</v>
      </c>
      <c r="O118" s="274">
        <f t="shared" si="96"/>
        <v>0</v>
      </c>
      <c r="P118" s="274">
        <f t="shared" si="96"/>
        <v>0</v>
      </c>
      <c r="AO118" s="289"/>
      <c r="AP118" s="289"/>
      <c r="AQ118" s="289"/>
      <c r="AR118" s="289"/>
      <c r="AS118" s="289"/>
      <c r="AT118" s="289"/>
    </row>
    <row r="119" spans="1:46" outlineLevel="1" x14ac:dyDescent="0.25">
      <c r="A119" s="106"/>
      <c r="C119" s="21" t="str">
        <f>"Lines works at "&amp;STN_2&amp;" feeders"</f>
        <v>Lines works at &lt;spare&gt; feeders</v>
      </c>
      <c r="D119" t="s">
        <v>3</v>
      </c>
      <c r="E119" t="s">
        <v>25</v>
      </c>
      <c r="F119" s="21" t="str">
        <f t="shared" ref="F119:F120" si="97">D119&amp;E119</f>
        <v>SubtransmissionAugmentation</v>
      </c>
      <c r="K119" s="212">
        <f t="shared" ref="K119:P122" si="98">SUMIF($F$81:$F$83,$F119,K$81:K$83)</f>
        <v>0</v>
      </c>
      <c r="L119" s="212">
        <f t="shared" si="98"/>
        <v>0</v>
      </c>
      <c r="M119" s="213">
        <f t="shared" si="98"/>
        <v>0</v>
      </c>
      <c r="N119" s="213">
        <f t="shared" si="98"/>
        <v>0</v>
      </c>
      <c r="O119" s="213">
        <f t="shared" si="98"/>
        <v>0</v>
      </c>
      <c r="P119" s="213">
        <f t="shared" si="98"/>
        <v>0</v>
      </c>
    </row>
    <row r="120" spans="1:46" s="106" customFormat="1" outlineLevel="1" x14ac:dyDescent="0.25">
      <c r="B120"/>
      <c r="C120"/>
      <c r="D120" t="s">
        <v>3</v>
      </c>
      <c r="E120" t="s">
        <v>26</v>
      </c>
      <c r="F120" s="21" t="str">
        <f t="shared" si="97"/>
        <v>SubtransmissionReplacement</v>
      </c>
      <c r="G120"/>
      <c r="H120"/>
      <c r="I120"/>
      <c r="J120"/>
      <c r="K120" s="212">
        <f t="shared" si="98"/>
        <v>0</v>
      </c>
      <c r="L120" s="212">
        <f t="shared" si="98"/>
        <v>0</v>
      </c>
      <c r="M120" s="213">
        <f t="shared" si="98"/>
        <v>0</v>
      </c>
      <c r="N120" s="213">
        <f t="shared" si="98"/>
        <v>0</v>
      </c>
      <c r="O120" s="213">
        <f t="shared" si="98"/>
        <v>0</v>
      </c>
      <c r="P120" s="213">
        <f t="shared" si="98"/>
        <v>0</v>
      </c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 s="217"/>
      <c r="AL120" s="333"/>
      <c r="AM120" s="217"/>
      <c r="AN120" s="217"/>
      <c r="AO120" s="217"/>
      <c r="AP120" s="217"/>
      <c r="AQ120" s="217"/>
      <c r="AR120" s="217"/>
      <c r="AS120" s="217"/>
      <c r="AT120" s="217"/>
    </row>
    <row r="121" spans="1:46" s="106" customFormat="1" outlineLevel="1" x14ac:dyDescent="0.25">
      <c r="B121"/>
      <c r="D121" t="s">
        <v>86</v>
      </c>
      <c r="E121" t="s">
        <v>25</v>
      </c>
      <c r="F121" s="21" t="str">
        <f t="shared" si="85"/>
        <v>Distribution system assetsAugmentation</v>
      </c>
      <c r="G121"/>
      <c r="H121"/>
      <c r="I121"/>
      <c r="J121"/>
      <c r="K121" s="212">
        <f t="shared" si="98"/>
        <v>0</v>
      </c>
      <c r="L121" s="212">
        <f t="shared" si="98"/>
        <v>0</v>
      </c>
      <c r="M121" s="213">
        <f t="shared" si="98"/>
        <v>0</v>
      </c>
      <c r="N121" s="213">
        <f t="shared" si="98"/>
        <v>0</v>
      </c>
      <c r="O121" s="213">
        <f t="shared" si="98"/>
        <v>0</v>
      </c>
      <c r="P121" s="213">
        <f t="shared" si="98"/>
        <v>0</v>
      </c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</row>
    <row r="122" spans="1:46" s="106" customFormat="1" outlineLevel="1" x14ac:dyDescent="0.25">
      <c r="B122"/>
      <c r="C122"/>
      <c r="D122" t="s">
        <v>86</v>
      </c>
      <c r="E122" t="s">
        <v>26</v>
      </c>
      <c r="F122" s="21" t="str">
        <f t="shared" si="85"/>
        <v>Distribution system assetsReplacement</v>
      </c>
      <c r="G122"/>
      <c r="H122"/>
      <c r="I122"/>
      <c r="J122"/>
      <c r="K122" s="272">
        <f t="shared" si="98"/>
        <v>0</v>
      </c>
      <c r="L122" s="272">
        <f t="shared" si="98"/>
        <v>0</v>
      </c>
      <c r="M122" s="273">
        <f t="shared" si="98"/>
        <v>0</v>
      </c>
      <c r="N122" s="273">
        <f t="shared" si="98"/>
        <v>0</v>
      </c>
      <c r="O122" s="273">
        <f t="shared" si="98"/>
        <v>0</v>
      </c>
      <c r="P122" s="273">
        <f t="shared" si="98"/>
        <v>0</v>
      </c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 s="217"/>
      <c r="AL122" s="334"/>
      <c r="AM122" s="334"/>
      <c r="AN122" s="334"/>
      <c r="AO122" s="289"/>
      <c r="AP122" s="289"/>
      <c r="AQ122" s="289"/>
      <c r="AR122" s="289"/>
      <c r="AS122" s="289"/>
      <c r="AT122" s="289"/>
    </row>
    <row r="123" spans="1:46" s="106" customFormat="1" outlineLevel="1" x14ac:dyDescent="0.25">
      <c r="B123"/>
      <c r="C123"/>
      <c r="D123"/>
      <c r="E123"/>
      <c r="F123"/>
      <c r="G123"/>
      <c r="H123"/>
      <c r="I123"/>
      <c r="J123"/>
      <c r="K123" s="241">
        <f>SUM(K119:K122)</f>
        <v>0</v>
      </c>
      <c r="L123" s="241">
        <f t="shared" ref="L123:P123" si="99">SUM(L119:L122)</f>
        <v>0</v>
      </c>
      <c r="M123" s="241">
        <f t="shared" si="99"/>
        <v>0</v>
      </c>
      <c r="N123" s="241">
        <f t="shared" si="99"/>
        <v>0</v>
      </c>
      <c r="O123" s="241">
        <f t="shared" si="99"/>
        <v>0</v>
      </c>
      <c r="P123" s="241">
        <f t="shared" si="99"/>
        <v>0</v>
      </c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 s="217"/>
      <c r="AL123" s="334"/>
      <c r="AM123" s="334"/>
      <c r="AN123" s="334"/>
      <c r="AO123" s="289"/>
      <c r="AP123" s="289"/>
      <c r="AQ123" s="289"/>
      <c r="AR123" s="289"/>
      <c r="AS123" s="289"/>
      <c r="AT123" s="289"/>
    </row>
    <row r="124" spans="1:46" s="106" customFormat="1" outlineLevel="1" x14ac:dyDescent="0.25">
      <c r="B124"/>
      <c r="C124"/>
      <c r="D124"/>
      <c r="E124"/>
      <c r="F124"/>
      <c r="G124"/>
      <c r="H124"/>
      <c r="I124"/>
      <c r="J124"/>
      <c r="K124" s="271">
        <f t="shared" ref="K124:P124" si="100">K123-K84</f>
        <v>0</v>
      </c>
      <c r="L124" s="271">
        <f t="shared" si="100"/>
        <v>0</v>
      </c>
      <c r="M124" s="250">
        <f t="shared" si="100"/>
        <v>0</v>
      </c>
      <c r="N124" s="250">
        <f t="shared" si="100"/>
        <v>0</v>
      </c>
      <c r="O124" s="250">
        <f t="shared" si="100"/>
        <v>0</v>
      </c>
      <c r="P124" s="250">
        <f t="shared" si="100"/>
        <v>0</v>
      </c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 s="217"/>
      <c r="AL124" s="334"/>
      <c r="AM124" s="334"/>
      <c r="AN124" s="334"/>
      <c r="AO124" s="289"/>
      <c r="AP124" s="289"/>
      <c r="AQ124" s="289"/>
      <c r="AR124" s="289"/>
      <c r="AS124" s="289"/>
      <c r="AT124" s="289"/>
    </row>
    <row r="125" spans="1:46" s="106" customFormat="1" outlineLevel="1" x14ac:dyDescent="0.25">
      <c r="B125"/>
      <c r="C125" t="s">
        <v>384</v>
      </c>
      <c r="D125" t="s">
        <v>3</v>
      </c>
      <c r="E125" t="s">
        <v>25</v>
      </c>
      <c r="F125" s="21" t="str">
        <f t="shared" ref="F125:F128" si="101">D125&amp;E125</f>
        <v>SubtransmissionAugmentation</v>
      </c>
      <c r="G125"/>
      <c r="H125"/>
      <c r="I125"/>
      <c r="J125"/>
      <c r="K125" s="212">
        <f t="shared" ref="K125:P128" si="102">SUMIF($F$87:$F$91,$F125,K$87:K$91)</f>
        <v>0</v>
      </c>
      <c r="L125" s="212">
        <f t="shared" si="102"/>
        <v>0</v>
      </c>
      <c r="M125" s="212">
        <f t="shared" si="102"/>
        <v>0</v>
      </c>
      <c r="N125" s="212">
        <f t="shared" si="102"/>
        <v>0</v>
      </c>
      <c r="O125" s="212">
        <f t="shared" si="102"/>
        <v>0</v>
      </c>
      <c r="P125" s="212">
        <f t="shared" si="102"/>
        <v>0</v>
      </c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 s="217"/>
      <c r="AL125" s="334"/>
      <c r="AM125" s="334"/>
      <c r="AN125" s="334"/>
      <c r="AO125" s="289"/>
      <c r="AP125" s="289"/>
      <c r="AQ125" s="289"/>
      <c r="AR125" s="289"/>
      <c r="AS125" s="289"/>
      <c r="AT125" s="289"/>
    </row>
    <row r="126" spans="1:46" s="106" customFormat="1" outlineLevel="1" x14ac:dyDescent="0.25">
      <c r="B126"/>
      <c r="C126"/>
      <c r="D126" t="s">
        <v>3</v>
      </c>
      <c r="E126" t="s">
        <v>26</v>
      </c>
      <c r="F126" s="21" t="str">
        <f t="shared" si="101"/>
        <v>SubtransmissionReplacement</v>
      </c>
      <c r="G126"/>
      <c r="H126"/>
      <c r="I126"/>
      <c r="J126"/>
      <c r="K126" s="212">
        <f t="shared" si="102"/>
        <v>0</v>
      </c>
      <c r="L126" s="212">
        <f t="shared" si="102"/>
        <v>0</v>
      </c>
      <c r="M126" s="212">
        <f t="shared" si="102"/>
        <v>0</v>
      </c>
      <c r="N126" s="212">
        <f t="shared" si="102"/>
        <v>0</v>
      </c>
      <c r="O126" s="212">
        <f t="shared" si="102"/>
        <v>0</v>
      </c>
      <c r="P126" s="212">
        <f t="shared" si="102"/>
        <v>0</v>
      </c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 s="217"/>
      <c r="AL126" s="334"/>
      <c r="AM126" s="334"/>
      <c r="AN126" s="334"/>
      <c r="AO126" s="289"/>
      <c r="AP126" s="289"/>
      <c r="AQ126" s="289"/>
      <c r="AR126" s="289"/>
      <c r="AS126" s="289"/>
      <c r="AT126" s="289"/>
    </row>
    <row r="127" spans="1:46" s="106" customFormat="1" outlineLevel="1" x14ac:dyDescent="0.25">
      <c r="B127"/>
      <c r="C127"/>
      <c r="D127" t="s">
        <v>86</v>
      </c>
      <c r="E127" t="s">
        <v>25</v>
      </c>
      <c r="F127" s="21" t="str">
        <f t="shared" si="101"/>
        <v>Distribution system assetsAugmentation</v>
      </c>
      <c r="G127"/>
      <c r="H127"/>
      <c r="I127"/>
      <c r="J127"/>
      <c r="K127" s="212">
        <f t="shared" si="102"/>
        <v>0</v>
      </c>
      <c r="L127" s="212">
        <f t="shared" si="102"/>
        <v>0</v>
      </c>
      <c r="M127" s="212">
        <f t="shared" si="102"/>
        <v>0</v>
      </c>
      <c r="N127" s="212">
        <f t="shared" si="102"/>
        <v>0</v>
      </c>
      <c r="O127" s="212">
        <f t="shared" si="102"/>
        <v>0</v>
      </c>
      <c r="P127" s="212">
        <f t="shared" si="102"/>
        <v>0</v>
      </c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 s="217"/>
      <c r="AL127" s="334"/>
      <c r="AM127" s="334"/>
      <c r="AN127" s="334"/>
      <c r="AO127" s="289"/>
      <c r="AP127" s="289"/>
      <c r="AQ127" s="289"/>
      <c r="AR127" s="289"/>
      <c r="AS127" s="289"/>
      <c r="AT127" s="289"/>
    </row>
    <row r="128" spans="1:46" s="106" customFormat="1" outlineLevel="1" x14ac:dyDescent="0.25">
      <c r="B128"/>
      <c r="C128"/>
      <c r="D128" t="s">
        <v>86</v>
      </c>
      <c r="E128" t="s">
        <v>26</v>
      </c>
      <c r="F128" s="21" t="str">
        <f t="shared" si="101"/>
        <v>Distribution system assetsReplacement</v>
      </c>
      <c r="G128"/>
      <c r="H128"/>
      <c r="I128"/>
      <c r="J128"/>
      <c r="K128" s="272">
        <f t="shared" si="102"/>
        <v>0</v>
      </c>
      <c r="L128" s="272">
        <f t="shared" si="102"/>
        <v>0</v>
      </c>
      <c r="M128" s="272">
        <f t="shared" si="102"/>
        <v>0</v>
      </c>
      <c r="N128" s="272">
        <f t="shared" si="102"/>
        <v>0</v>
      </c>
      <c r="O128" s="272">
        <f t="shared" si="102"/>
        <v>0</v>
      </c>
      <c r="P128" s="272">
        <f t="shared" si="102"/>
        <v>0</v>
      </c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 s="217"/>
      <c r="AL128" s="334"/>
      <c r="AM128" s="334"/>
      <c r="AN128" s="334"/>
      <c r="AO128" s="289"/>
      <c r="AP128" s="289"/>
      <c r="AQ128" s="289"/>
      <c r="AR128" s="289"/>
      <c r="AS128" s="289"/>
      <c r="AT128" s="289"/>
    </row>
    <row r="129" spans="1:46" s="106" customFormat="1" outlineLevel="1" x14ac:dyDescent="0.25">
      <c r="B129"/>
      <c r="C129"/>
      <c r="D129"/>
      <c r="E129"/>
      <c r="F129"/>
      <c r="G129"/>
      <c r="H129"/>
      <c r="I129"/>
      <c r="J129"/>
      <c r="K129" s="241">
        <f>SUM(K125:K128)</f>
        <v>0</v>
      </c>
      <c r="L129" s="241">
        <f t="shared" ref="L129:P129" si="103">SUM(L125:L128)</f>
        <v>0</v>
      </c>
      <c r="M129" s="241">
        <f t="shared" si="103"/>
        <v>0</v>
      </c>
      <c r="N129" s="241">
        <f t="shared" si="103"/>
        <v>0</v>
      </c>
      <c r="O129" s="241">
        <f t="shared" si="103"/>
        <v>0</v>
      </c>
      <c r="P129" s="241">
        <f t="shared" si="103"/>
        <v>0</v>
      </c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 s="217"/>
      <c r="AL129" s="334"/>
      <c r="AM129" s="334"/>
      <c r="AN129" s="334"/>
      <c r="AO129" s="289"/>
      <c r="AP129" s="289"/>
      <c r="AQ129" s="289"/>
      <c r="AR129" s="289"/>
      <c r="AS129" s="289"/>
      <c r="AT129" s="289"/>
    </row>
    <row r="130" spans="1:46" s="106" customFormat="1" outlineLevel="1" x14ac:dyDescent="0.25">
      <c r="B130"/>
      <c r="C130"/>
      <c r="D130"/>
      <c r="E130"/>
      <c r="F130"/>
      <c r="G130"/>
      <c r="H130"/>
      <c r="I130"/>
      <c r="J130"/>
      <c r="K130" s="271">
        <f t="shared" ref="K130:P130" si="104">K129-K92</f>
        <v>0</v>
      </c>
      <c r="L130" s="271">
        <f t="shared" si="104"/>
        <v>0</v>
      </c>
      <c r="M130" s="271">
        <f t="shared" si="104"/>
        <v>0</v>
      </c>
      <c r="N130" s="271">
        <f t="shared" si="104"/>
        <v>0</v>
      </c>
      <c r="O130" s="271">
        <f t="shared" si="104"/>
        <v>0</v>
      </c>
      <c r="P130" s="271">
        <f t="shared" si="104"/>
        <v>0</v>
      </c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 s="217"/>
      <c r="AL130" s="334"/>
      <c r="AM130" s="334"/>
      <c r="AN130" s="334"/>
      <c r="AO130" s="289"/>
      <c r="AP130" s="289"/>
      <c r="AQ130" s="289"/>
      <c r="AR130" s="289"/>
      <c r="AS130" s="289"/>
      <c r="AT130" s="289"/>
    </row>
    <row r="131" spans="1:46" s="106" customFormat="1" outlineLevel="1" x14ac:dyDescent="0.25">
      <c r="B131"/>
      <c r="C131"/>
      <c r="D131"/>
      <c r="E131"/>
      <c r="F131"/>
      <c r="G131"/>
      <c r="H131"/>
      <c r="I131"/>
      <c r="J131"/>
      <c r="K131"/>
      <c r="L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 s="217"/>
      <c r="AL131" s="334"/>
      <c r="AM131" s="334"/>
      <c r="AN131" s="334"/>
      <c r="AO131" s="289"/>
      <c r="AP131" s="289"/>
      <c r="AQ131" s="289"/>
      <c r="AR131" s="289"/>
      <c r="AS131" s="289"/>
      <c r="AT131" s="289"/>
    </row>
    <row r="132" spans="1:46" s="106" customFormat="1" outlineLevel="1" x14ac:dyDescent="0.25">
      <c r="B132"/>
      <c r="C132"/>
      <c r="D132"/>
      <c r="E132"/>
      <c r="F132"/>
      <c r="G132"/>
      <c r="H132"/>
      <c r="I132"/>
      <c r="J132"/>
      <c r="K132"/>
      <c r="L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 s="217"/>
      <c r="AL132" s="334"/>
      <c r="AM132" s="334"/>
      <c r="AN132" s="334"/>
      <c r="AO132" s="334"/>
      <c r="AP132" s="334"/>
      <c r="AQ132" s="334"/>
      <c r="AR132" s="334"/>
      <c r="AS132" s="334"/>
      <c r="AT132" s="334"/>
    </row>
    <row r="133" spans="1:46" s="106" customFormat="1" outlineLevel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 s="217"/>
      <c r="AL133" s="333"/>
      <c r="AM133" s="217"/>
      <c r="AN133" s="217"/>
      <c r="AO133" s="217"/>
      <c r="AP133" s="217"/>
      <c r="AQ133" s="217"/>
      <c r="AR133" s="217"/>
      <c r="AS133" s="217"/>
      <c r="AT133" s="217"/>
    </row>
    <row r="134" spans="1:46" outlineLevel="1" x14ac:dyDescent="0.25"/>
    <row r="135" spans="1:46" outlineLevel="1" x14ac:dyDescent="0.25">
      <c r="AO135" s="289"/>
      <c r="AP135" s="289"/>
      <c r="AQ135" s="289"/>
      <c r="AR135" s="289"/>
      <c r="AS135" s="289"/>
      <c r="AT135" s="289"/>
    </row>
    <row r="136" spans="1:46" outlineLevel="1" x14ac:dyDescent="0.25">
      <c r="AO136" s="289"/>
      <c r="AP136" s="289"/>
      <c r="AQ136" s="289"/>
      <c r="AR136" s="289"/>
      <c r="AS136" s="289"/>
      <c r="AT136" s="289"/>
    </row>
    <row r="137" spans="1:46" outlineLevel="1" x14ac:dyDescent="0.25">
      <c r="AO137" s="289"/>
      <c r="AP137" s="289"/>
      <c r="AQ137" s="289"/>
      <c r="AR137" s="289"/>
      <c r="AS137" s="289"/>
      <c r="AT137" s="289"/>
    </row>
    <row r="138" spans="1:46" outlineLevel="1" x14ac:dyDescent="0.25">
      <c r="AO138" s="289"/>
      <c r="AP138" s="289"/>
      <c r="AQ138" s="289"/>
      <c r="AR138" s="289"/>
      <c r="AS138" s="289"/>
      <c r="AT138" s="289"/>
    </row>
    <row r="139" spans="1:46" outlineLevel="1" x14ac:dyDescent="0.25">
      <c r="AO139" s="289"/>
      <c r="AP139" s="289"/>
      <c r="AQ139" s="289"/>
      <c r="AR139" s="289"/>
      <c r="AS139" s="289"/>
      <c r="AT139" s="289"/>
    </row>
    <row r="140" spans="1:46" x14ac:dyDescent="0.25">
      <c r="AO140" s="289"/>
      <c r="AP140" s="289"/>
      <c r="AQ140" s="289"/>
      <c r="AR140" s="289"/>
      <c r="AS140" s="289"/>
      <c r="AT140" s="289"/>
    </row>
    <row r="141" spans="1:46" x14ac:dyDescent="0.25">
      <c r="AO141" s="289"/>
      <c r="AP141" s="289"/>
      <c r="AQ141" s="289"/>
      <c r="AR141" s="289"/>
      <c r="AS141" s="289"/>
      <c r="AT141" s="289"/>
    </row>
    <row r="142" spans="1:46" x14ac:dyDescent="0.25">
      <c r="AO142" s="289"/>
      <c r="AP142" s="289"/>
      <c r="AQ142" s="289"/>
      <c r="AR142" s="289"/>
      <c r="AS142" s="289"/>
      <c r="AT142" s="289"/>
    </row>
    <row r="143" spans="1:46" x14ac:dyDescent="0.25">
      <c r="AO143" s="289"/>
      <c r="AP143" s="289"/>
      <c r="AQ143" s="289"/>
      <c r="AR143" s="289"/>
      <c r="AS143" s="289"/>
      <c r="AT143" s="289"/>
    </row>
    <row r="144" spans="1:46" x14ac:dyDescent="0.25">
      <c r="AO144" s="289"/>
      <c r="AP144" s="289"/>
      <c r="AQ144" s="289"/>
      <c r="AR144" s="289"/>
      <c r="AS144" s="289"/>
      <c r="AT144" s="289"/>
    </row>
    <row r="145" spans="41:46" x14ac:dyDescent="0.25">
      <c r="AO145" s="289"/>
      <c r="AP145" s="289"/>
      <c r="AQ145" s="289"/>
      <c r="AR145" s="289"/>
      <c r="AS145" s="289"/>
      <c r="AT145" s="289"/>
    </row>
    <row r="146" spans="41:46" x14ac:dyDescent="0.25">
      <c r="AO146" s="289"/>
      <c r="AP146" s="289"/>
      <c r="AQ146" s="289"/>
      <c r="AR146" s="289"/>
      <c r="AS146" s="289"/>
      <c r="AT146" s="289"/>
    </row>
    <row r="147" spans="41:46" x14ac:dyDescent="0.25">
      <c r="AO147" s="289"/>
      <c r="AP147" s="289"/>
      <c r="AQ147" s="289"/>
      <c r="AR147" s="289"/>
      <c r="AS147" s="289"/>
      <c r="AT147" s="289"/>
    </row>
    <row r="148" spans="41:46" x14ac:dyDescent="0.25">
      <c r="AO148" s="289"/>
      <c r="AP148" s="289"/>
      <c r="AQ148" s="289"/>
      <c r="AR148" s="289"/>
      <c r="AS148" s="289"/>
      <c r="AT148" s="289"/>
    </row>
    <row r="149" spans="41:46" x14ac:dyDescent="0.25">
      <c r="AO149" s="289"/>
      <c r="AP149" s="289"/>
      <c r="AQ149" s="289"/>
      <c r="AR149" s="289"/>
      <c r="AS149" s="289"/>
      <c r="AT149" s="289"/>
    </row>
    <row r="150" spans="41:46" x14ac:dyDescent="0.25">
      <c r="AO150" s="289"/>
      <c r="AP150" s="289"/>
      <c r="AQ150" s="289"/>
      <c r="AR150" s="289"/>
      <c r="AS150" s="289"/>
      <c r="AT150" s="289"/>
    </row>
    <row r="151" spans="41:46" x14ac:dyDescent="0.25">
      <c r="AO151" s="289"/>
      <c r="AP151" s="289"/>
      <c r="AQ151" s="289"/>
      <c r="AR151" s="289"/>
      <c r="AS151" s="289"/>
      <c r="AT151" s="289"/>
    </row>
    <row r="152" spans="41:46" x14ac:dyDescent="0.25">
      <c r="AO152" s="289"/>
      <c r="AP152" s="289"/>
      <c r="AQ152" s="289"/>
      <c r="AR152" s="289"/>
      <c r="AS152" s="289"/>
      <c r="AT152" s="289"/>
    </row>
    <row r="153" spans="41:46" x14ac:dyDescent="0.25">
      <c r="AO153" s="289"/>
      <c r="AP153" s="289"/>
      <c r="AQ153" s="289"/>
      <c r="AR153" s="289"/>
      <c r="AS153" s="289"/>
      <c r="AT153" s="289"/>
    </row>
    <row r="154" spans="41:46" x14ac:dyDescent="0.25">
      <c r="AO154" s="289"/>
      <c r="AP154" s="289"/>
      <c r="AQ154" s="289"/>
      <c r="AR154" s="289"/>
      <c r="AS154" s="289"/>
      <c r="AT154" s="289"/>
    </row>
    <row r="155" spans="41:46" x14ac:dyDescent="0.25">
      <c r="AO155" s="289"/>
      <c r="AP155" s="289"/>
      <c r="AQ155" s="289"/>
      <c r="AR155" s="289"/>
      <c r="AS155" s="289"/>
      <c r="AT155" s="289"/>
    </row>
    <row r="156" spans="41:46" x14ac:dyDescent="0.25">
      <c r="AO156" s="289"/>
      <c r="AP156" s="289"/>
      <c r="AQ156" s="289"/>
      <c r="AR156" s="289"/>
      <c r="AS156" s="289"/>
      <c r="AT156" s="289"/>
    </row>
    <row r="157" spans="41:46" x14ac:dyDescent="0.25">
      <c r="AO157" s="289"/>
      <c r="AP157" s="289"/>
      <c r="AQ157" s="289"/>
      <c r="AR157" s="289"/>
      <c r="AS157" s="289"/>
      <c r="AT157" s="289"/>
    </row>
    <row r="158" spans="41:46" x14ac:dyDescent="0.25">
      <c r="AO158" s="289"/>
      <c r="AP158" s="289"/>
      <c r="AQ158" s="289"/>
      <c r="AR158" s="289"/>
      <c r="AS158" s="289"/>
      <c r="AT158" s="289"/>
    </row>
    <row r="159" spans="41:46" x14ac:dyDescent="0.25">
      <c r="AO159" s="289"/>
      <c r="AP159" s="289"/>
      <c r="AQ159" s="289"/>
      <c r="AR159" s="289"/>
      <c r="AS159" s="289"/>
      <c r="AT159" s="289"/>
    </row>
    <row r="161" spans="38:46" x14ac:dyDescent="0.25">
      <c r="AL161" s="333"/>
    </row>
    <row r="163" spans="38:46" x14ac:dyDescent="0.25">
      <c r="AO163" s="289"/>
      <c r="AP163" s="289"/>
      <c r="AQ163" s="289"/>
      <c r="AR163" s="289"/>
      <c r="AS163" s="289"/>
      <c r="AT163" s="289"/>
    </row>
    <row r="164" spans="38:46" x14ac:dyDescent="0.25">
      <c r="AO164" s="289"/>
      <c r="AP164" s="289"/>
      <c r="AQ164" s="289"/>
      <c r="AR164" s="289"/>
      <c r="AS164" s="289"/>
      <c r="AT164" s="289"/>
    </row>
    <row r="165" spans="38:46" x14ac:dyDescent="0.25">
      <c r="AO165" s="289"/>
      <c r="AP165" s="289"/>
      <c r="AQ165" s="289"/>
      <c r="AR165" s="289"/>
      <c r="AS165" s="289"/>
      <c r="AT165" s="289"/>
    </row>
    <row r="166" spans="38:46" x14ac:dyDescent="0.25">
      <c r="AO166" s="289"/>
      <c r="AP166" s="289"/>
      <c r="AQ166" s="289"/>
      <c r="AR166" s="289"/>
      <c r="AS166" s="289"/>
      <c r="AT166" s="289"/>
    </row>
    <row r="167" spans="38:46" x14ac:dyDescent="0.25">
      <c r="AO167" s="289"/>
      <c r="AP167" s="289"/>
      <c r="AQ167" s="289"/>
      <c r="AR167" s="289"/>
      <c r="AS167" s="289"/>
      <c r="AT167" s="289"/>
    </row>
  </sheetData>
  <mergeCells count="3">
    <mergeCell ref="G3:I3"/>
    <mergeCell ref="K3:P3"/>
    <mergeCell ref="R3:X3"/>
  </mergeCells>
  <pageMargins left="0.25" right="0.25" top="0.75" bottom="0.75" header="0.3" footer="0.3"/>
  <pageSetup paperSize="9" scale="65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zoomScale="85" zoomScaleNormal="85" workbookViewId="0">
      <selection activeCell="E26" sqref="E26"/>
    </sheetView>
  </sheetViews>
  <sheetFormatPr defaultRowHeight="15" x14ac:dyDescent="0.25"/>
  <cols>
    <col min="1" max="1" width="3.85546875" customWidth="1"/>
    <col min="2" max="2" width="37.28515625" customWidth="1"/>
    <col min="3" max="3" width="9" customWidth="1"/>
    <col min="4" max="4" width="9.140625" customWidth="1"/>
    <col min="5" max="5" width="8.28515625" bestFit="1" customWidth="1"/>
    <col min="6" max="7" width="9.42578125" customWidth="1"/>
    <col min="8" max="8" width="8.85546875" customWidth="1"/>
    <col min="9" max="9" width="11.28515625" bestFit="1" customWidth="1"/>
    <col min="10" max="10" width="56.28515625" customWidth="1"/>
    <col min="11" max="11" width="34.7109375" customWidth="1"/>
  </cols>
  <sheetData>
    <row r="2" spans="2:11" x14ac:dyDescent="0.25">
      <c r="B2" s="23" t="s">
        <v>450</v>
      </c>
    </row>
    <row r="3" spans="2:11" x14ac:dyDescent="0.25">
      <c r="B3" s="23" t="s">
        <v>449</v>
      </c>
    </row>
    <row r="4" spans="2:11" x14ac:dyDescent="0.25">
      <c r="D4" s="383" t="s">
        <v>448</v>
      </c>
      <c r="E4" s="384"/>
      <c r="F4" s="384"/>
      <c r="G4" s="384"/>
      <c r="H4" s="384"/>
      <c r="I4" s="385"/>
    </row>
    <row r="5" spans="2:11" x14ac:dyDescent="0.25">
      <c r="B5" s="3"/>
      <c r="C5" s="386" t="s">
        <v>411</v>
      </c>
      <c r="D5" s="335" t="s">
        <v>412</v>
      </c>
      <c r="E5" s="335" t="s">
        <v>412</v>
      </c>
      <c r="F5" s="335" t="s">
        <v>412</v>
      </c>
      <c r="G5" s="335" t="s">
        <v>412</v>
      </c>
      <c r="H5" s="335" t="s">
        <v>39</v>
      </c>
      <c r="I5" s="13"/>
    </row>
    <row r="6" spans="2:11" x14ac:dyDescent="0.25">
      <c r="B6" s="336" t="s">
        <v>413</v>
      </c>
      <c r="C6" s="387"/>
      <c r="D6" s="337" t="s">
        <v>414</v>
      </c>
      <c r="E6" s="337" t="s">
        <v>415</v>
      </c>
      <c r="F6" s="337" t="s">
        <v>416</v>
      </c>
      <c r="G6" s="337" t="s">
        <v>428</v>
      </c>
      <c r="H6" s="337" t="s">
        <v>438</v>
      </c>
      <c r="I6" s="338" t="s">
        <v>0</v>
      </c>
      <c r="J6" s="339" t="s">
        <v>417</v>
      </c>
      <c r="K6" s="71"/>
    </row>
    <row r="7" spans="2:11" ht="48.6" customHeight="1" x14ac:dyDescent="0.25">
      <c r="B7" s="358" t="s">
        <v>418</v>
      </c>
      <c r="C7" s="358" t="s">
        <v>419</v>
      </c>
      <c r="D7" s="359">
        <v>14214.53</v>
      </c>
      <c r="E7" s="359">
        <v>3894.61</v>
      </c>
      <c r="F7" s="359">
        <v>6080.66</v>
      </c>
      <c r="G7" s="359">
        <v>208981.81</v>
      </c>
      <c r="H7" s="359">
        <v>40973.51</v>
      </c>
      <c r="I7" s="359">
        <f>SUM(D7:H7)</f>
        <v>274145.12</v>
      </c>
      <c r="J7" s="84" t="s">
        <v>439</v>
      </c>
      <c r="K7" s="106"/>
    </row>
    <row r="8" spans="2:11" x14ac:dyDescent="0.25">
      <c r="B8" s="358" t="s">
        <v>420</v>
      </c>
      <c r="C8" s="358" t="s">
        <v>421</v>
      </c>
      <c r="D8" s="359">
        <v>0</v>
      </c>
      <c r="E8" s="359">
        <v>0</v>
      </c>
      <c r="F8" s="359">
        <v>0</v>
      </c>
      <c r="G8" s="359">
        <v>42193.878058461698</v>
      </c>
      <c r="H8" s="359">
        <f>17*Unit_Rates!E139*1000</f>
        <v>44830.995437115576</v>
      </c>
      <c r="I8" s="359">
        <f>SUM(D8:H8)</f>
        <v>87024.873495577282</v>
      </c>
      <c r="J8" s="351" t="s">
        <v>440</v>
      </c>
      <c r="K8" s="106"/>
    </row>
    <row r="9" spans="2:11" ht="22.15" customHeight="1" x14ac:dyDescent="0.25">
      <c r="B9" s="358" t="s">
        <v>422</v>
      </c>
      <c r="C9" s="358" t="s">
        <v>419</v>
      </c>
      <c r="D9" s="359">
        <v>0</v>
      </c>
      <c r="E9" s="359">
        <v>0</v>
      </c>
      <c r="F9" s="359">
        <v>0</v>
      </c>
      <c r="G9" s="360">
        <v>0</v>
      </c>
      <c r="H9" s="360">
        <v>0</v>
      </c>
      <c r="I9" s="359">
        <f>SUM(D9:H9)</f>
        <v>0</v>
      </c>
      <c r="J9" s="252" t="s">
        <v>423</v>
      </c>
      <c r="K9" s="106"/>
    </row>
    <row r="10" spans="2:11" ht="22.15" customHeight="1" x14ac:dyDescent="0.25">
      <c r="B10" s="63" t="s">
        <v>424</v>
      </c>
      <c r="C10" s="63" t="s">
        <v>421</v>
      </c>
      <c r="D10" s="340">
        <v>0</v>
      </c>
      <c r="E10" s="340">
        <v>0</v>
      </c>
      <c r="F10" s="340">
        <v>320854.89999999997</v>
      </c>
      <c r="G10" s="340">
        <v>16887.100000000002</v>
      </c>
      <c r="H10" s="340">
        <v>0</v>
      </c>
      <c r="I10" s="340">
        <f>SUM(D10:H10)</f>
        <v>337741.99999999994</v>
      </c>
      <c r="J10" s="388" t="s">
        <v>425</v>
      </c>
      <c r="K10" s="106"/>
    </row>
    <row r="11" spans="2:11" ht="22.15" customHeight="1" x14ac:dyDescent="0.25">
      <c r="B11" s="63" t="s">
        <v>426</v>
      </c>
      <c r="C11" s="63" t="s">
        <v>419</v>
      </c>
      <c r="D11" s="340">
        <v>0</v>
      </c>
      <c r="E11" s="340">
        <v>0</v>
      </c>
      <c r="F11" s="340">
        <v>12898.887570147601</v>
      </c>
      <c r="G11" s="341">
        <v>93780.87965113105</v>
      </c>
      <c r="H11" s="341">
        <v>0</v>
      </c>
      <c r="I11" s="340">
        <f>SUM(D11:H11)</f>
        <v>106679.76722127866</v>
      </c>
      <c r="J11" s="389"/>
      <c r="K11" s="106"/>
    </row>
    <row r="12" spans="2:11" x14ac:dyDescent="0.25">
      <c r="B12" s="336" t="s">
        <v>427</v>
      </c>
      <c r="C12" s="342"/>
      <c r="D12" s="343">
        <f t="shared" ref="D12:H12" si="0">SUM(D7:D11)</f>
        <v>14214.53</v>
      </c>
      <c r="E12" s="343">
        <f t="shared" si="0"/>
        <v>3894.61</v>
      </c>
      <c r="F12" s="343">
        <f t="shared" si="0"/>
        <v>339834.44757014752</v>
      </c>
      <c r="G12" s="343">
        <f t="shared" si="0"/>
        <v>361843.66770959273</v>
      </c>
      <c r="H12" s="343">
        <f t="shared" si="0"/>
        <v>85804.505437115586</v>
      </c>
      <c r="I12" s="343">
        <f>SUM(I7:I11)</f>
        <v>805591.76071685588</v>
      </c>
      <c r="J12" s="63"/>
    </row>
    <row r="14" spans="2:11" x14ac:dyDescent="0.25">
      <c r="B14" t="s">
        <v>429</v>
      </c>
      <c r="D14" s="345">
        <f>[1]Escalators!K$17</f>
        <v>1.089065287920217</v>
      </c>
      <c r="E14" s="345">
        <f>[1]Escalators!L$17</f>
        <v>1.075441975284158</v>
      </c>
      <c r="F14" s="345">
        <f>[1]Escalators!M$17</f>
        <v>1.0597841134352426</v>
      </c>
      <c r="G14" s="345">
        <f>[1]Escalators!N$17</f>
        <v>1.0389462882960341</v>
      </c>
      <c r="H14" s="345">
        <f>[1]Escalators!O$17</f>
        <v>1.0202250019521406</v>
      </c>
    </row>
    <row r="16" spans="2:11" x14ac:dyDescent="0.25">
      <c r="B16" s="3" t="s">
        <v>451</v>
      </c>
      <c r="C16" s="3"/>
      <c r="D16" s="344">
        <f>SUM(D7:D9)*D14</f>
        <v>15480.551207100561</v>
      </c>
      <c r="E16" s="344">
        <f t="shared" ref="E16:H16" si="1">SUM(E7:E9)*E14</f>
        <v>4188.4270713614342</v>
      </c>
      <c r="F16" s="344">
        <f t="shared" si="1"/>
        <v>6444.1868672011424</v>
      </c>
      <c r="G16" s="344">
        <f t="shared" si="1"/>
        <v>260958.04881854128</v>
      </c>
      <c r="H16" s="344">
        <f t="shared" si="1"/>
        <v>87539.901727083707</v>
      </c>
      <c r="I16" s="344">
        <f>SUM(D16:H16)</f>
        <v>374611.11569128814</v>
      </c>
    </row>
    <row r="17" spans="4:9" x14ac:dyDescent="0.25">
      <c r="D17" s="20"/>
      <c r="E17" s="20"/>
      <c r="F17" s="20"/>
      <c r="G17" s="20"/>
      <c r="H17" s="20"/>
    </row>
    <row r="18" spans="4:9" x14ac:dyDescent="0.25">
      <c r="D18" s="5"/>
      <c r="E18" s="5"/>
      <c r="F18" s="5"/>
      <c r="G18" s="5"/>
      <c r="H18" s="5"/>
      <c r="I18" s="5"/>
    </row>
    <row r="19" spans="4:9" x14ac:dyDescent="0.25">
      <c r="D19" s="5"/>
      <c r="E19" s="5"/>
      <c r="F19" s="5"/>
      <c r="G19" s="5"/>
      <c r="H19" s="5"/>
      <c r="I19" s="5"/>
    </row>
  </sheetData>
  <mergeCells count="3">
    <mergeCell ref="D4:I4"/>
    <mergeCell ref="C5:C6"/>
    <mergeCell ref="J10:J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zoomScale="70" zoomScaleNormal="70" workbookViewId="0">
      <pane xSplit="3" topLeftCell="D1" activePane="topRight" state="frozen"/>
      <selection activeCell="J46" sqref="J46"/>
      <selection pane="topRight" activeCell="D2" sqref="D2"/>
    </sheetView>
  </sheetViews>
  <sheetFormatPr defaultRowHeight="15" x14ac:dyDescent="0.25"/>
  <cols>
    <col min="1" max="1" width="11.5703125" customWidth="1"/>
    <col min="2" max="2" width="12" customWidth="1"/>
    <col min="3" max="3" width="58.85546875" customWidth="1"/>
    <col min="4" max="4" width="67.28515625" customWidth="1"/>
    <col min="5" max="5" width="9.7109375" customWidth="1"/>
    <col min="6" max="6" width="13.28515625" customWidth="1"/>
    <col min="7" max="7" width="33.28515625" style="2" customWidth="1"/>
    <col min="8" max="8" width="17.42578125" style="2" customWidth="1"/>
    <col min="9" max="9" width="9.5703125" customWidth="1"/>
    <col min="10" max="10" width="12.28515625" customWidth="1"/>
    <col min="11" max="11" width="10.7109375" customWidth="1"/>
    <col min="12" max="12" width="11" customWidth="1"/>
    <col min="13" max="13" width="34.7109375" customWidth="1"/>
    <col min="14" max="14" width="12.7109375" customWidth="1"/>
    <col min="15" max="15" width="12.140625" customWidth="1"/>
    <col min="16" max="16" width="10.28515625" customWidth="1"/>
    <col min="17" max="20" width="9.140625" customWidth="1"/>
  </cols>
  <sheetData>
    <row r="1" spans="2:25" ht="18.75" x14ac:dyDescent="0.3">
      <c r="B1" s="219" t="s">
        <v>97</v>
      </c>
      <c r="F1" s="368" t="s">
        <v>98</v>
      </c>
      <c r="G1" s="53"/>
    </row>
    <row r="2" spans="2:25" x14ac:dyDescent="0.25">
      <c r="D2" s="256"/>
      <c r="F2" s="53"/>
      <c r="G2" s="53"/>
    </row>
    <row r="3" spans="2:25" x14ac:dyDescent="0.25">
      <c r="B3" s="3" t="s">
        <v>99</v>
      </c>
      <c r="F3" s="53"/>
      <c r="G3" s="53"/>
    </row>
    <row r="4" spans="2:25" ht="31.5" x14ac:dyDescent="0.25">
      <c r="B4" s="54" t="s">
        <v>100</v>
      </c>
      <c r="I4" s="55"/>
      <c r="J4" s="56"/>
      <c r="K4" s="56"/>
      <c r="L4" s="57"/>
      <c r="M4" s="58"/>
      <c r="N4" s="59"/>
      <c r="O4" s="59"/>
    </row>
    <row r="5" spans="2:25" ht="14.45" customHeight="1" x14ac:dyDescent="0.25">
      <c r="C5" s="13"/>
      <c r="D5" s="13"/>
      <c r="E5" s="60" t="s">
        <v>101</v>
      </c>
      <c r="F5" s="13"/>
      <c r="G5" s="12"/>
      <c r="H5" s="12"/>
      <c r="I5" s="13"/>
      <c r="J5" s="13"/>
      <c r="K5" s="13"/>
      <c r="N5" t="s">
        <v>102</v>
      </c>
    </row>
    <row r="6" spans="2:25" x14ac:dyDescent="0.25">
      <c r="C6" s="61" t="s">
        <v>103</v>
      </c>
      <c r="D6" s="61" t="s">
        <v>104</v>
      </c>
      <c r="E6" s="62" t="s">
        <v>105</v>
      </c>
      <c r="F6" s="61" t="s">
        <v>106</v>
      </c>
      <c r="G6" s="61" t="s">
        <v>5</v>
      </c>
      <c r="H6" s="61" t="s">
        <v>18</v>
      </c>
      <c r="I6" s="61" t="s">
        <v>19</v>
      </c>
      <c r="J6" s="61" t="s">
        <v>107</v>
      </c>
      <c r="K6" s="61" t="s">
        <v>23</v>
      </c>
      <c r="M6" s="2"/>
      <c r="N6" s="329" t="str">
        <f>STN_1</f>
        <v>KLO</v>
      </c>
      <c r="O6" s="329" t="str">
        <f>STN_2</f>
        <v>&lt;spare&gt;</v>
      </c>
      <c r="P6" s="253"/>
      <c r="Q6" s="222"/>
      <c r="R6" s="222"/>
      <c r="S6" s="222"/>
      <c r="T6" s="222"/>
      <c r="U6" s="222"/>
    </row>
    <row r="7" spans="2:25" x14ac:dyDescent="0.25">
      <c r="C7" s="63" t="s">
        <v>108</v>
      </c>
      <c r="D7" s="63" t="s">
        <v>109</v>
      </c>
      <c r="E7" s="370"/>
      <c r="F7" s="64" t="s">
        <v>85</v>
      </c>
      <c r="G7" s="65" t="s">
        <v>3</v>
      </c>
      <c r="H7" s="66" t="s">
        <v>25</v>
      </c>
      <c r="I7" s="67">
        <f>'Unit_Rates - $2015'!I7*1/Escalators!$G$12</f>
        <v>72.618999999999986</v>
      </c>
      <c r="J7" s="370"/>
      <c r="K7" s="370"/>
      <c r="L7" s="2"/>
      <c r="M7" s="68"/>
      <c r="N7" s="21">
        <f>IF(ISNA(VLOOKUP($C7,KLO_Det!$C$17:$H$108,6,FALSE)),0,VLOOKUP($C7,KLO_Det!$C$17:$H$108,6,FALSE))</f>
        <v>0</v>
      </c>
      <c r="O7" s="21">
        <f>IF(ISNA(VLOOKUP($C7,Spare_Det!$C$17:$H$107,6,FALSE)),0,VLOOKUP($C7,Spare_Det!$C$17:$H$107,6,FALSE))</f>
        <v>0</v>
      </c>
      <c r="P7" s="21"/>
      <c r="Q7" s="21"/>
      <c r="R7" s="21"/>
      <c r="S7" s="21"/>
      <c r="T7" s="21"/>
      <c r="U7" s="21"/>
      <c r="W7" s="214"/>
      <c r="X7" s="214"/>
      <c r="Y7" s="214"/>
    </row>
    <row r="8" spans="2:25" x14ac:dyDescent="0.25">
      <c r="C8" s="63" t="s">
        <v>110</v>
      </c>
      <c r="D8" s="63" t="s">
        <v>111</v>
      </c>
      <c r="E8" s="370"/>
      <c r="F8" s="64" t="s">
        <v>85</v>
      </c>
      <c r="G8" s="65" t="s">
        <v>3</v>
      </c>
      <c r="H8" s="66" t="s">
        <v>25</v>
      </c>
      <c r="I8" s="67">
        <f>'Unit_Rates - $2015'!I8*1/Escalators!$G$12</f>
        <v>112.82799999999997</v>
      </c>
      <c r="J8" s="370"/>
      <c r="K8" s="370"/>
      <c r="L8" s="2"/>
      <c r="M8" s="227"/>
      <c r="N8" s="21">
        <f>IF(ISNA(VLOOKUP($C8,KLO_Det!$C$17:$H$108,6,FALSE)),0,VLOOKUP($C8,KLO_Det!$C$17:$H$108,6,FALSE))</f>
        <v>0</v>
      </c>
      <c r="O8" s="21">
        <f>IF(ISNA(VLOOKUP($C8,Spare_Det!$C$17:$H$107,6,FALSE)),0,VLOOKUP($C8,Spare_Det!$C$17:$H$107,6,FALSE))</f>
        <v>0</v>
      </c>
      <c r="P8" s="21"/>
      <c r="Q8" s="21"/>
      <c r="R8" s="21"/>
      <c r="S8" s="21"/>
      <c r="T8" s="21"/>
      <c r="U8" s="21"/>
      <c r="W8" s="214"/>
      <c r="X8" s="214"/>
      <c r="Y8" s="214"/>
    </row>
    <row r="9" spans="2:25" x14ac:dyDescent="0.25">
      <c r="B9" s="308" t="s">
        <v>452</v>
      </c>
      <c r="C9" s="63" t="s">
        <v>369</v>
      </c>
      <c r="D9" s="63" t="s">
        <v>375</v>
      </c>
      <c r="E9" s="370"/>
      <c r="F9" s="64" t="s">
        <v>85</v>
      </c>
      <c r="G9" s="65" t="s">
        <v>3</v>
      </c>
      <c r="H9" s="66" t="s">
        <v>25</v>
      </c>
      <c r="I9" s="67">
        <v>47.718692238676105</v>
      </c>
      <c r="J9" s="370"/>
      <c r="K9" s="370"/>
      <c r="L9" s="319"/>
      <c r="M9" s="227"/>
      <c r="N9" s="21">
        <f>IF(ISNA(VLOOKUP($C9,KLO_Det!$C$17:$H$108,6,FALSE)),0,VLOOKUP($C9,KLO_Det!$C$17:$H$108,6,FALSE))</f>
        <v>2</v>
      </c>
      <c r="O9" s="21">
        <f>IF(ISNA(VLOOKUP($C9,Spare_Det!$C$17:$H$107,6,FALSE)),0,VLOOKUP($C9,Spare_Det!$C$17:$H$107,6,FALSE))</f>
        <v>0</v>
      </c>
      <c r="P9" s="21"/>
      <c r="Q9" s="21"/>
      <c r="R9" s="21"/>
      <c r="S9" s="21"/>
      <c r="T9" s="21"/>
      <c r="U9" s="21"/>
      <c r="W9" s="214"/>
      <c r="X9" s="214"/>
      <c r="Y9" s="214"/>
    </row>
    <row r="10" spans="2:25" x14ac:dyDescent="0.25">
      <c r="B10" s="308" t="s">
        <v>452</v>
      </c>
      <c r="C10" s="63" t="s">
        <v>370</v>
      </c>
      <c r="D10" s="63" t="s">
        <v>371</v>
      </c>
      <c r="E10" s="370"/>
      <c r="F10" s="64" t="s">
        <v>85</v>
      </c>
      <c r="G10" s="65" t="s">
        <v>3</v>
      </c>
      <c r="H10" s="66" t="s">
        <v>25</v>
      </c>
      <c r="I10" s="67">
        <v>18.997386759581939</v>
      </c>
      <c r="J10" s="370"/>
      <c r="K10" s="370"/>
      <c r="L10" s="319"/>
      <c r="M10" s="68"/>
      <c r="N10" s="21">
        <f>IF(ISNA(VLOOKUP($C10,KLO_Det!$C$17:$H$108,6,FALSE)),0,VLOOKUP($C10,KLO_Det!$C$17:$H$108,6,FALSE))</f>
        <v>0</v>
      </c>
      <c r="O10" s="21">
        <f>IF(ISNA(VLOOKUP($C10,Spare_Det!$C$17:$H$107,6,FALSE)),0,VLOOKUP($C10,Spare_Det!$C$17:$H$107,6,FALSE))</f>
        <v>0</v>
      </c>
      <c r="P10" s="21"/>
      <c r="Q10" s="21"/>
      <c r="R10" s="21"/>
      <c r="S10" s="21"/>
      <c r="T10" s="21"/>
      <c r="U10" s="21"/>
      <c r="W10" s="214"/>
      <c r="X10" s="214"/>
      <c r="Y10" s="214"/>
    </row>
    <row r="11" spans="2:25" x14ac:dyDescent="0.25">
      <c r="B11" s="308" t="s">
        <v>452</v>
      </c>
      <c r="C11" s="63" t="s">
        <v>388</v>
      </c>
      <c r="D11" s="63" t="s">
        <v>389</v>
      </c>
      <c r="E11" s="370"/>
      <c r="F11" s="64" t="s">
        <v>85</v>
      </c>
      <c r="G11" s="65" t="s">
        <v>3</v>
      </c>
      <c r="H11" s="66" t="s">
        <v>25</v>
      </c>
      <c r="I11" s="67">
        <v>80.025261324042049</v>
      </c>
      <c r="J11" s="370"/>
      <c r="K11" s="370"/>
      <c r="L11" s="321"/>
      <c r="M11" s="68"/>
      <c r="N11" s="21">
        <f>IF(ISNA(VLOOKUP($C11,KLO_Det!$C$17:$H$108,6,FALSE)),0,VLOOKUP($C11,KLO_Det!$C$17:$H$108,6,FALSE))</f>
        <v>0</v>
      </c>
      <c r="O11" s="21">
        <f>IF(ISNA(VLOOKUP($C11,Spare_Det!$C$17:$H$107,6,FALSE)),0,VLOOKUP($C11,Spare_Det!$C$17:$H$107,6,FALSE))</f>
        <v>0</v>
      </c>
      <c r="P11" s="21"/>
      <c r="Q11" s="21"/>
      <c r="R11" s="21"/>
      <c r="S11" s="21"/>
      <c r="T11" s="21"/>
      <c r="U11" s="21"/>
      <c r="W11" s="214"/>
      <c r="X11" s="214"/>
      <c r="Y11" s="214"/>
    </row>
    <row r="12" spans="2:25" x14ac:dyDescent="0.25">
      <c r="B12" s="308" t="s">
        <v>452</v>
      </c>
      <c r="C12" s="63" t="s">
        <v>433</v>
      </c>
      <c r="D12" s="63" t="s">
        <v>434</v>
      </c>
      <c r="E12" s="370"/>
      <c r="F12" s="64" t="s">
        <v>85</v>
      </c>
      <c r="G12" s="65" t="s">
        <v>3</v>
      </c>
      <c r="H12" s="66" t="s">
        <v>25</v>
      </c>
      <c r="I12" s="67">
        <v>907.54355555038592</v>
      </c>
      <c r="J12" s="370"/>
      <c r="K12" s="370"/>
      <c r="L12" s="320"/>
      <c r="M12" s="68"/>
      <c r="N12" s="21">
        <f>IF(ISNA(VLOOKUP($C12,KLO_Det!$C$17:$H$108,6,FALSE)),0,VLOOKUP($C12,KLO_Det!$C$17:$H$108,6,FALSE))</f>
        <v>4</v>
      </c>
      <c r="O12" s="21">
        <f>IF(ISNA(VLOOKUP($C12,Spare_Det!$C$17:$H$107,6,FALSE)),0,VLOOKUP($C12,Spare_Det!$C$17:$H$107,6,FALSE))</f>
        <v>0</v>
      </c>
      <c r="P12" s="21"/>
      <c r="Q12" s="21"/>
      <c r="R12" s="21"/>
      <c r="S12" s="21"/>
      <c r="T12" s="21"/>
      <c r="U12" s="21"/>
      <c r="W12" s="214"/>
      <c r="X12" s="214"/>
      <c r="Y12" s="214"/>
    </row>
    <row r="13" spans="2:25" x14ac:dyDescent="0.25">
      <c r="C13" s="63" t="s">
        <v>294</v>
      </c>
      <c r="D13" s="63" t="s">
        <v>295</v>
      </c>
      <c r="E13" s="370"/>
      <c r="F13" s="64" t="s">
        <v>85</v>
      </c>
      <c r="G13" s="65" t="s">
        <v>3</v>
      </c>
      <c r="H13" s="66" t="s">
        <v>25</v>
      </c>
      <c r="I13" s="67">
        <f>'Unit_Rates - $2015'!I9*1/Escalators!$G$12</f>
        <v>426.80678651665863</v>
      </c>
      <c r="J13" s="370"/>
      <c r="K13" s="370"/>
      <c r="L13" s="2"/>
      <c r="N13" s="21">
        <f>IF(ISNA(VLOOKUP($C13,KLO_Det!$C$17:$H$108,6,FALSE)),0,VLOOKUP($C13,KLO_Det!$C$17:$H$108,6,FALSE))</f>
        <v>0</v>
      </c>
      <c r="O13" s="21">
        <f>IF(ISNA(VLOOKUP($C13,Spare_Det!$C$17:$H$107,6,FALSE)),0,VLOOKUP($C13,Spare_Det!$C$17:$H$107,6,FALSE))</f>
        <v>0</v>
      </c>
      <c r="P13" s="21"/>
      <c r="Q13" s="21"/>
      <c r="R13" s="21"/>
      <c r="S13" s="21"/>
      <c r="T13" s="21"/>
      <c r="U13" s="21"/>
      <c r="W13" s="214"/>
      <c r="X13" s="214"/>
      <c r="Y13" s="214"/>
    </row>
    <row r="14" spans="2:25" x14ac:dyDescent="0.25">
      <c r="C14" s="63" t="s">
        <v>112</v>
      </c>
      <c r="D14" s="63" t="s">
        <v>113</v>
      </c>
      <c r="E14" s="370"/>
      <c r="F14" s="64" t="s">
        <v>85</v>
      </c>
      <c r="G14" s="65" t="s">
        <v>3</v>
      </c>
      <c r="H14" s="66" t="s">
        <v>25</v>
      </c>
      <c r="I14" s="67">
        <f>'Unit_Rates - $2015'!I10*1/Escalators!$G$12+85.1</f>
        <v>465.00233333333324</v>
      </c>
      <c r="J14" s="370"/>
      <c r="K14" s="370"/>
      <c r="L14" s="2"/>
      <c r="M14" s="68"/>
      <c r="N14" s="21">
        <f>IF(ISNA(VLOOKUP($C14,KLO_Det!$C$17:$H$108,6,FALSE)),0,VLOOKUP($C14,KLO_Det!$C$17:$H$108,6,FALSE))</f>
        <v>0</v>
      </c>
      <c r="O14" s="21">
        <f>IF(ISNA(VLOOKUP($C14,Spare_Det!$C$17:$H$107,6,FALSE)),0,VLOOKUP($C14,Spare_Det!$C$17:$H$107,6,FALSE))</f>
        <v>0</v>
      </c>
      <c r="P14" s="21"/>
      <c r="Q14" s="21"/>
      <c r="R14" s="21"/>
      <c r="S14" s="21"/>
      <c r="T14" s="21"/>
      <c r="U14" s="21"/>
      <c r="W14" s="214"/>
      <c r="X14" s="214"/>
      <c r="Y14" s="214"/>
    </row>
    <row r="15" spans="2:25" x14ac:dyDescent="0.25">
      <c r="B15" s="308" t="s">
        <v>452</v>
      </c>
      <c r="C15" s="63" t="s">
        <v>368</v>
      </c>
      <c r="D15" s="63" t="s">
        <v>374</v>
      </c>
      <c r="E15" s="370"/>
      <c r="F15" s="64" t="s">
        <v>85</v>
      </c>
      <c r="G15" s="65" t="s">
        <v>3</v>
      </c>
      <c r="H15" s="66" t="s">
        <v>25</v>
      </c>
      <c r="I15" s="67">
        <v>1184.64554006969</v>
      </c>
      <c r="J15" s="370"/>
      <c r="K15" s="370"/>
      <c r="L15" s="319"/>
      <c r="M15" s="68"/>
      <c r="N15" s="21">
        <f>IF(ISNA(VLOOKUP($C15,KLO_Det!$C$17:$H$108,6,FALSE)),0,VLOOKUP($C15,KLO_Det!$C$17:$H$108,6,FALSE))</f>
        <v>2</v>
      </c>
      <c r="O15" s="21">
        <f>IF(ISNA(VLOOKUP($C15,Spare_Det!$C$17:$H$107,6,FALSE)),0,VLOOKUP($C15,Spare_Det!$C$17:$H$107,6,FALSE))</f>
        <v>0</v>
      </c>
      <c r="P15" s="21"/>
      <c r="Q15" s="21"/>
      <c r="R15" s="21"/>
      <c r="S15" s="21"/>
      <c r="T15" s="21"/>
      <c r="U15" s="21"/>
      <c r="W15" s="214"/>
      <c r="X15" s="214"/>
      <c r="Y15" s="214"/>
    </row>
    <row r="16" spans="2:25" x14ac:dyDescent="0.25">
      <c r="C16" s="63" t="s">
        <v>114</v>
      </c>
      <c r="D16" s="63" t="s">
        <v>115</v>
      </c>
      <c r="E16" s="370"/>
      <c r="F16" s="64" t="s">
        <v>85</v>
      </c>
      <c r="G16" s="65" t="s">
        <v>3</v>
      </c>
      <c r="H16" s="66" t="s">
        <v>25</v>
      </c>
      <c r="I16" s="67">
        <f>'Unit_Rates - $2015'!I11*1/Escalators!$G$12</f>
        <v>39.294999999999995</v>
      </c>
      <c r="J16" s="370"/>
      <c r="K16" s="370"/>
      <c r="L16" s="2"/>
      <c r="M16" s="68"/>
      <c r="N16" s="21">
        <f>IF(ISNA(VLOOKUP($C16,KLO_Det!$C$17:$H$108,6,FALSE)),0,VLOOKUP($C16,KLO_Det!$C$17:$H$108,6,FALSE))</f>
        <v>0</v>
      </c>
      <c r="O16" s="21">
        <f>IF(ISNA(VLOOKUP($C16,Spare_Det!$C$17:$H$107,6,FALSE)),0,VLOOKUP($C16,Spare_Det!$C$17:$H$107,6,FALSE))</f>
        <v>0</v>
      </c>
      <c r="P16" s="21"/>
      <c r="Q16" s="21"/>
      <c r="R16" s="21"/>
      <c r="S16" s="21"/>
      <c r="T16" s="21"/>
      <c r="U16" s="21"/>
      <c r="W16" s="214"/>
      <c r="X16" s="214"/>
      <c r="Y16" s="214"/>
    </row>
    <row r="17" spans="3:25" x14ac:dyDescent="0.25">
      <c r="C17" s="63" t="s">
        <v>116</v>
      </c>
      <c r="D17" s="63" t="s">
        <v>117</v>
      </c>
      <c r="E17" s="370"/>
      <c r="F17" s="64" t="s">
        <v>85</v>
      </c>
      <c r="G17" s="65" t="s">
        <v>3</v>
      </c>
      <c r="H17" s="66" t="s">
        <v>25</v>
      </c>
      <c r="I17" s="67">
        <f>'Unit_Rates - $2015'!I12*1/Escalators!$G$12</f>
        <v>42.974999999999994</v>
      </c>
      <c r="J17" s="370"/>
      <c r="K17" s="370"/>
      <c r="L17" s="2"/>
      <c r="M17" s="68"/>
      <c r="N17" s="21">
        <f>IF(ISNA(VLOOKUP($C17,KLO_Det!$C$17:$H$108,6,FALSE)),0,VLOOKUP($C17,KLO_Det!$C$17:$H$108,6,FALSE))</f>
        <v>0</v>
      </c>
      <c r="O17" s="21">
        <f>IF(ISNA(VLOOKUP($C17,Spare_Det!$C$17:$H$107,6,FALSE)),0,VLOOKUP($C17,Spare_Det!$C$17:$H$107,6,FALSE))</f>
        <v>0</v>
      </c>
      <c r="P17" s="21"/>
      <c r="Q17" s="21"/>
      <c r="R17" s="21"/>
      <c r="S17" s="21"/>
      <c r="T17" s="21"/>
      <c r="U17" s="21"/>
      <c r="W17" s="214"/>
      <c r="X17" s="214"/>
      <c r="Y17" s="214"/>
    </row>
    <row r="18" spans="3:25" x14ac:dyDescent="0.25">
      <c r="C18" s="63" t="s">
        <v>118</v>
      </c>
      <c r="D18" s="63" t="s">
        <v>118</v>
      </c>
      <c r="E18" s="370"/>
      <c r="F18" s="64" t="s">
        <v>85</v>
      </c>
      <c r="G18" s="65" t="s">
        <v>3</v>
      </c>
      <c r="H18" s="66" t="s">
        <v>25</v>
      </c>
      <c r="I18" s="67">
        <f>'Unit_Rates - $2015'!I13*1/Escalators!$G$12</f>
        <v>0</v>
      </c>
      <c r="J18" s="370"/>
      <c r="K18" s="370"/>
      <c r="L18" s="2"/>
      <c r="M18" s="68"/>
      <c r="N18" s="21">
        <f>IF(ISNA(VLOOKUP($C18,KLO_Det!$C$17:$H$108,6,FALSE)),0,VLOOKUP($C18,KLO_Det!$C$17:$H$108,6,FALSE))</f>
        <v>0</v>
      </c>
      <c r="O18" s="21">
        <f>IF(ISNA(VLOOKUP($C18,Spare_Det!$C$17:$H$107,6,FALSE)),0,VLOOKUP($C18,Spare_Det!$C$17:$H$107,6,FALSE))</f>
        <v>0</v>
      </c>
      <c r="P18" s="21"/>
      <c r="Q18" s="21"/>
      <c r="R18" s="21"/>
      <c r="S18" s="21"/>
      <c r="T18" s="21"/>
      <c r="U18" s="21"/>
      <c r="W18" s="214"/>
      <c r="X18" s="214"/>
      <c r="Y18" s="214"/>
    </row>
    <row r="19" spans="3:25" x14ac:dyDescent="0.25">
      <c r="C19" s="63" t="s">
        <v>119</v>
      </c>
      <c r="D19" s="63" t="s">
        <v>120</v>
      </c>
      <c r="E19" s="370"/>
      <c r="F19" s="64" t="s">
        <v>85</v>
      </c>
      <c r="G19" s="65" t="s">
        <v>2</v>
      </c>
      <c r="H19" s="66" t="s">
        <v>25</v>
      </c>
      <c r="I19" s="67">
        <f>'Unit_Rates - $2015'!I14*1/Escalators!$G$12</f>
        <v>1158.2999999999995</v>
      </c>
      <c r="J19" s="370"/>
      <c r="K19" s="370"/>
      <c r="L19" s="69"/>
      <c r="M19" s="68"/>
      <c r="N19" s="21">
        <f>IF(ISNA(VLOOKUP($C19,KLO_Det!$C$17:$H$108,6,FALSE)),0,VLOOKUP($C19,KLO_Det!$C$17:$H$108,6,FALSE))</f>
        <v>3</v>
      </c>
      <c r="O19" s="21">
        <f>IF(ISNA(VLOOKUP($C19,Spare_Det!$C$17:$H$107,6,FALSE)),0,VLOOKUP($C19,Spare_Det!$C$17:$H$107,6,FALSE))</f>
        <v>0</v>
      </c>
      <c r="P19" s="21"/>
      <c r="Q19" s="21"/>
      <c r="R19" s="21"/>
      <c r="S19" s="21"/>
      <c r="T19" s="21"/>
      <c r="U19" s="21"/>
      <c r="W19" s="214"/>
      <c r="X19" s="214"/>
      <c r="Y19" s="214"/>
    </row>
    <row r="20" spans="3:25" x14ac:dyDescent="0.25">
      <c r="C20" s="63" t="s">
        <v>121</v>
      </c>
      <c r="D20" s="63" t="s">
        <v>122</v>
      </c>
      <c r="E20" s="370"/>
      <c r="F20" s="64" t="s">
        <v>85</v>
      </c>
      <c r="G20" s="65" t="s">
        <v>3</v>
      </c>
      <c r="H20" s="66" t="s">
        <v>25</v>
      </c>
      <c r="I20" s="67">
        <f>'Unit_Rates - $2015'!I15*1/Escalators!$G$12</f>
        <v>0</v>
      </c>
      <c r="J20" s="370"/>
      <c r="K20" s="370"/>
      <c r="L20" s="2"/>
      <c r="M20" s="68"/>
      <c r="N20" s="21">
        <f>IF(ISNA(VLOOKUP($C20,KLO_Det!$C$17:$H$108,6,FALSE)),0,VLOOKUP($C20,KLO_Det!$C$17:$H$108,6,FALSE))</f>
        <v>2</v>
      </c>
      <c r="O20" s="21">
        <f>IF(ISNA(VLOOKUP($C20,Spare_Det!$C$17:$H$107,6,FALSE)),0,VLOOKUP($C20,Spare_Det!$C$17:$H$107,6,FALSE))</f>
        <v>0</v>
      </c>
      <c r="P20" s="21"/>
      <c r="Q20" s="21"/>
      <c r="R20" s="21"/>
      <c r="S20" s="21"/>
      <c r="T20" s="21"/>
      <c r="U20" s="21"/>
      <c r="W20" s="214"/>
      <c r="X20" s="214"/>
      <c r="Y20" s="214"/>
    </row>
    <row r="21" spans="3:25" x14ac:dyDescent="0.25">
      <c r="C21" s="63" t="s">
        <v>123</v>
      </c>
      <c r="D21" s="63" t="s">
        <v>124</v>
      </c>
      <c r="E21" s="370"/>
      <c r="F21" s="64" t="s">
        <v>85</v>
      </c>
      <c r="G21" s="65" t="s">
        <v>3</v>
      </c>
      <c r="H21" s="66" t="s">
        <v>25</v>
      </c>
      <c r="I21" s="67">
        <f>'Unit_Rates - $2015'!I16*1/Escalators!$G$12</f>
        <v>1353.9999999999995</v>
      </c>
      <c r="J21" s="370"/>
      <c r="K21" s="370"/>
      <c r="L21" s="2"/>
      <c r="M21" s="68"/>
      <c r="N21" s="21">
        <f>IF(ISNA(VLOOKUP($C21,KLO_Det!$C$17:$H$108,6,FALSE)),0,VLOOKUP($C21,KLO_Det!$C$17:$H$108,6,FALSE))</f>
        <v>0</v>
      </c>
      <c r="O21" s="21">
        <f>IF(ISNA(VLOOKUP($C21,Spare_Det!$C$17:$H$107,6,FALSE)),0,VLOOKUP($C21,Spare_Det!$C$17:$H$107,6,FALSE))</f>
        <v>0</v>
      </c>
      <c r="P21" s="21"/>
      <c r="Q21" s="21"/>
      <c r="R21" s="21"/>
      <c r="S21" s="21"/>
      <c r="T21" s="21"/>
      <c r="U21" s="21"/>
      <c r="W21" s="214"/>
      <c r="X21" s="214"/>
      <c r="Y21" s="214"/>
    </row>
    <row r="22" spans="3:25" x14ac:dyDescent="0.25">
      <c r="C22" s="63" t="s">
        <v>125</v>
      </c>
      <c r="D22" s="63" t="s">
        <v>126</v>
      </c>
      <c r="E22" s="370"/>
      <c r="F22" s="64" t="s">
        <v>85</v>
      </c>
      <c r="G22" s="65" t="s">
        <v>3</v>
      </c>
      <c r="H22" s="66" t="s">
        <v>25</v>
      </c>
      <c r="I22" s="67">
        <f>'Unit_Rates - $2015'!I17*1/Escalators!$G$12</f>
        <v>1461.1162790697672</v>
      </c>
      <c r="J22" s="370"/>
      <c r="K22" s="370"/>
      <c r="L22" s="2"/>
      <c r="M22" s="68"/>
      <c r="N22" s="21">
        <f>IF(ISNA(VLOOKUP($C22,KLO_Det!$C$17:$H$108,6,FALSE)),0,VLOOKUP($C22,KLO_Det!$C$17:$H$108,6,FALSE))</f>
        <v>0</v>
      </c>
      <c r="O22" s="21">
        <f>IF(ISNA(VLOOKUP($C22,Spare_Det!$C$17:$H$107,6,FALSE)),0,VLOOKUP($C22,Spare_Det!$C$17:$H$107,6,FALSE))</f>
        <v>0</v>
      </c>
      <c r="P22" s="21"/>
      <c r="Q22" s="21"/>
      <c r="R22" s="21"/>
      <c r="S22" s="21"/>
      <c r="T22" s="21"/>
      <c r="U22" s="21"/>
      <c r="W22" s="214"/>
      <c r="X22" s="214"/>
      <c r="Y22" s="214"/>
    </row>
    <row r="23" spans="3:25" x14ac:dyDescent="0.25">
      <c r="C23" s="63" t="s">
        <v>127</v>
      </c>
      <c r="D23" s="63" t="s">
        <v>128</v>
      </c>
      <c r="E23" s="370"/>
      <c r="F23" s="64" t="s">
        <v>85</v>
      </c>
      <c r="G23" s="65" t="s">
        <v>3</v>
      </c>
      <c r="H23" s="66" t="s">
        <v>25</v>
      </c>
      <c r="I23" s="67">
        <f>'Unit_Rates - $2015'!I18*1/Escalators!$G$12</f>
        <v>699.99999999999989</v>
      </c>
      <c r="J23" s="370"/>
      <c r="K23" s="370"/>
      <c r="L23" s="2"/>
      <c r="M23" s="68"/>
      <c r="N23" s="21">
        <f>IF(ISNA(VLOOKUP($C23,KLO_Det!$C$17:$H$108,6,FALSE)),0,VLOOKUP($C23,KLO_Det!$C$17:$H$108,6,FALSE))</f>
        <v>0</v>
      </c>
      <c r="O23" s="21">
        <f>IF(ISNA(VLOOKUP($C23,Spare_Det!$C$17:$H$107,6,FALSE)),0,VLOOKUP($C23,Spare_Det!$C$17:$H$107,6,FALSE))</f>
        <v>0</v>
      </c>
      <c r="P23" s="21"/>
      <c r="Q23" s="21"/>
      <c r="R23" s="21"/>
      <c r="S23" s="21"/>
      <c r="T23" s="21"/>
      <c r="U23" s="21"/>
      <c r="W23" s="214"/>
      <c r="X23" s="214"/>
      <c r="Y23" s="214"/>
    </row>
    <row r="24" spans="3:25" x14ac:dyDescent="0.25">
      <c r="C24" s="63" t="s">
        <v>129</v>
      </c>
      <c r="D24" s="63" t="s">
        <v>130</v>
      </c>
      <c r="E24" s="370"/>
      <c r="F24" s="64" t="s">
        <v>85</v>
      </c>
      <c r="G24" s="65" t="s">
        <v>3</v>
      </c>
      <c r="H24" s="66" t="s">
        <v>25</v>
      </c>
      <c r="I24" s="67">
        <f>'Unit_Rates - $2015'!I19*1/Escalators!$G$12</f>
        <v>127.03197209302326</v>
      </c>
      <c r="J24" s="370"/>
      <c r="K24" s="370"/>
      <c r="L24" s="2"/>
      <c r="M24" s="68"/>
      <c r="N24" s="21">
        <f>IF(ISNA(VLOOKUP($C24,KLO_Det!$C$17:$H$108,6,FALSE)),0,VLOOKUP($C24,KLO_Det!$C$17:$H$108,6,FALSE))</f>
        <v>0</v>
      </c>
      <c r="O24" s="21">
        <f>IF(ISNA(VLOOKUP($C24,Spare_Det!$C$17:$H$107,6,FALSE)),0,VLOOKUP($C24,Spare_Det!$C$17:$H$107,6,FALSE))</f>
        <v>0</v>
      </c>
      <c r="P24" s="21"/>
      <c r="Q24" s="21"/>
      <c r="R24" s="21"/>
      <c r="S24" s="21"/>
      <c r="T24" s="21"/>
      <c r="U24" s="21"/>
      <c r="W24" s="214"/>
      <c r="X24" s="214"/>
      <c r="Y24" s="214"/>
    </row>
    <row r="25" spans="3:25" x14ac:dyDescent="0.25">
      <c r="C25" s="63" t="s">
        <v>298</v>
      </c>
      <c r="D25" s="63" t="s">
        <v>131</v>
      </c>
      <c r="E25" s="370"/>
      <c r="F25" s="64" t="s">
        <v>85</v>
      </c>
      <c r="G25" s="65" t="s">
        <v>3</v>
      </c>
      <c r="H25" s="66" t="s">
        <v>25</v>
      </c>
      <c r="I25" s="67">
        <f>'Unit_Rates - $2015'!I20*1/Escalators!$G$12</f>
        <v>465.78000000000003</v>
      </c>
      <c r="J25" s="370"/>
      <c r="K25" s="370"/>
      <c r="L25" s="2"/>
      <c r="M25" s="68"/>
      <c r="N25" s="21">
        <f>IF(ISNA(VLOOKUP($C25,KLO_Det!$C$17:$H$108,6,FALSE)),0,VLOOKUP($C25,KLO_Det!$C$17:$H$108,6,FALSE))</f>
        <v>0</v>
      </c>
      <c r="O25" s="21">
        <f>IF(ISNA(VLOOKUP($C25,Spare_Det!$C$17:$H$107,6,FALSE)),0,VLOOKUP($C25,Spare_Det!$C$17:$H$107,6,FALSE))</f>
        <v>0</v>
      </c>
      <c r="P25" s="21"/>
      <c r="Q25" s="21"/>
      <c r="R25" s="21"/>
      <c r="S25" s="21"/>
      <c r="T25" s="21"/>
      <c r="U25" s="21"/>
      <c r="W25" s="214"/>
      <c r="X25" s="214"/>
      <c r="Y25" s="214"/>
    </row>
    <row r="26" spans="3:25" x14ac:dyDescent="0.25">
      <c r="C26" s="63" t="s">
        <v>299</v>
      </c>
      <c r="D26" s="63" t="s">
        <v>131</v>
      </c>
      <c r="E26" s="370"/>
      <c r="F26" s="64" t="s">
        <v>85</v>
      </c>
      <c r="G26" s="65" t="s">
        <v>3</v>
      </c>
      <c r="H26" s="66" t="s">
        <v>25</v>
      </c>
      <c r="I26" s="67">
        <f>'Unit_Rates - $2015'!I21*1/Escalators!$G$12</f>
        <v>406.8</v>
      </c>
      <c r="J26" s="370"/>
      <c r="K26" s="370"/>
      <c r="L26" s="200"/>
      <c r="M26" s="68"/>
      <c r="N26" s="21">
        <f>IF(ISNA(VLOOKUP($C26,KLO_Det!$C$17:$H$108,6,FALSE)),0,VLOOKUP($C26,KLO_Det!$C$17:$H$108,6,FALSE))</f>
        <v>0</v>
      </c>
      <c r="O26" s="21">
        <f>IF(ISNA(VLOOKUP($C26,Spare_Det!$C$17:$H$107,6,FALSE)),0,VLOOKUP($C26,Spare_Det!$C$17:$H$107,6,FALSE))</f>
        <v>0</v>
      </c>
      <c r="P26" s="21"/>
      <c r="Q26" s="21"/>
      <c r="R26" s="21"/>
      <c r="S26" s="21"/>
      <c r="T26" s="21"/>
      <c r="U26" s="21"/>
      <c r="W26" s="214"/>
      <c r="X26" s="214"/>
      <c r="Y26" s="214"/>
    </row>
    <row r="27" spans="3:25" s="70" customFormat="1" x14ac:dyDescent="0.25">
      <c r="C27" s="63" t="s">
        <v>300</v>
      </c>
      <c r="D27" s="63" t="s">
        <v>132</v>
      </c>
      <c r="E27" s="370"/>
      <c r="F27" s="64" t="s">
        <v>85</v>
      </c>
      <c r="G27" s="65" t="s">
        <v>3</v>
      </c>
      <c r="H27" s="66" t="s">
        <v>25</v>
      </c>
      <c r="I27" s="67">
        <f>'Unit_Rates - $2015'!I22*1/Escalators!$G$12</f>
        <v>686.54500000000007</v>
      </c>
      <c r="J27" s="370"/>
      <c r="K27" s="370"/>
      <c r="L27" s="200"/>
      <c r="M27" s="68"/>
      <c r="N27" s="21">
        <f>IF(ISNA(VLOOKUP($C27,KLO_Det!$C$17:$H$108,6,FALSE)),0,VLOOKUP($C27,KLO_Det!$C$17:$H$108,6,FALSE))</f>
        <v>0</v>
      </c>
      <c r="O27" s="21">
        <f>IF(ISNA(VLOOKUP($C27,Spare_Det!$C$17:$H$107,6,FALSE)),0,VLOOKUP($C27,Spare_Det!$C$17:$H$107,6,FALSE))</f>
        <v>0</v>
      </c>
      <c r="P27" s="21"/>
      <c r="Q27" s="21"/>
      <c r="R27" s="21"/>
      <c r="S27" s="21"/>
      <c r="T27" s="21"/>
      <c r="U27" s="21"/>
      <c r="W27" s="214"/>
      <c r="X27" s="214"/>
      <c r="Y27" s="214"/>
    </row>
    <row r="28" spans="3:25" x14ac:dyDescent="0.25">
      <c r="C28" s="63" t="s">
        <v>133</v>
      </c>
      <c r="D28" s="63" t="s">
        <v>134</v>
      </c>
      <c r="E28" s="370"/>
      <c r="F28" s="64" t="s">
        <v>85</v>
      </c>
      <c r="G28" s="65" t="s">
        <v>3</v>
      </c>
      <c r="H28" s="66" t="s">
        <v>25</v>
      </c>
      <c r="I28" s="67">
        <f>'Unit_Rates - $2015'!I23*1/Escalators!$G$12</f>
        <v>91.292437209302321</v>
      </c>
      <c r="J28" s="370"/>
      <c r="K28" s="370"/>
      <c r="L28" s="2"/>
      <c r="M28" s="68"/>
      <c r="N28" s="21">
        <f>IF(ISNA(VLOOKUP($C28,KLO_Det!$C$17:$H$108,6,FALSE)),0,VLOOKUP($C28,KLO_Det!$C$17:$H$108,6,FALSE))</f>
        <v>0</v>
      </c>
      <c r="O28" s="21">
        <f>IF(ISNA(VLOOKUP($C28,Spare_Det!$C$17:$H$107,6,FALSE)),0,VLOOKUP($C28,Spare_Det!$C$17:$H$107,6,FALSE))</f>
        <v>0</v>
      </c>
      <c r="P28" s="21"/>
      <c r="Q28" s="21"/>
      <c r="R28" s="21"/>
      <c r="S28" s="21"/>
      <c r="T28" s="21"/>
      <c r="U28" s="21"/>
      <c r="W28" s="214"/>
      <c r="X28" s="214"/>
      <c r="Y28" s="214"/>
    </row>
    <row r="29" spans="3:25" x14ac:dyDescent="0.25">
      <c r="C29" s="63" t="s">
        <v>135</v>
      </c>
      <c r="D29" s="63" t="s">
        <v>135</v>
      </c>
      <c r="E29" s="370"/>
      <c r="F29" s="64" t="s">
        <v>85</v>
      </c>
      <c r="G29" s="65" t="s">
        <v>3</v>
      </c>
      <c r="H29" s="66" t="s">
        <v>25</v>
      </c>
      <c r="I29" s="67">
        <f>'Unit_Rates - $2015'!I24*1/Escalators!$G$12</f>
        <v>0</v>
      </c>
      <c r="J29" s="370"/>
      <c r="K29" s="370"/>
      <c r="L29" s="2"/>
      <c r="M29" s="68"/>
      <c r="N29" s="21">
        <f>IF(ISNA(VLOOKUP($C29,KLO_Det!$C$17:$H$108,6,FALSE)),0,VLOOKUP($C29,KLO_Det!$C$17:$H$108,6,FALSE))</f>
        <v>0</v>
      </c>
      <c r="O29" s="21">
        <f>IF(ISNA(VLOOKUP($C29,Spare_Det!$C$17:$H$107,6,FALSE)),0,VLOOKUP($C29,Spare_Det!$C$17:$H$107,6,FALSE))</f>
        <v>0</v>
      </c>
      <c r="P29" s="21"/>
      <c r="Q29" s="21"/>
      <c r="R29" s="21"/>
      <c r="S29" s="21"/>
      <c r="T29" s="21"/>
      <c r="U29" s="21"/>
      <c r="W29" s="214"/>
      <c r="X29" s="214"/>
      <c r="Y29" s="214"/>
    </row>
    <row r="30" spans="3:25" x14ac:dyDescent="0.25">
      <c r="C30" s="63" t="s">
        <v>136</v>
      </c>
      <c r="D30" s="63" t="s">
        <v>137</v>
      </c>
      <c r="E30" s="370"/>
      <c r="F30" s="64" t="s">
        <v>85</v>
      </c>
      <c r="G30" s="65" t="s">
        <v>3</v>
      </c>
      <c r="H30" s="66" t="s">
        <v>25</v>
      </c>
      <c r="I30" s="67">
        <f>'Unit_Rates - $2015'!I25*1/Escalators!$G$12</f>
        <v>107.00599999999997</v>
      </c>
      <c r="J30" s="370"/>
      <c r="K30" s="370"/>
      <c r="L30" s="2"/>
      <c r="M30" s="68"/>
      <c r="N30" s="21">
        <f>IF(ISNA(VLOOKUP($C30,KLO_Det!$C$17:$H$108,6,FALSE)),0,VLOOKUP($C30,KLO_Det!$C$17:$H$108,6,FALSE))</f>
        <v>0</v>
      </c>
      <c r="O30" s="21">
        <f>IF(ISNA(VLOOKUP($C30,Spare_Det!$C$17:$H$107,6,FALSE)),0,VLOOKUP($C30,Spare_Det!$C$17:$H$107,6,FALSE))</f>
        <v>0</v>
      </c>
      <c r="P30" s="21"/>
      <c r="Q30" s="21"/>
      <c r="R30" s="21"/>
      <c r="S30" s="21"/>
      <c r="T30" s="21"/>
      <c r="U30" s="21"/>
      <c r="W30" s="214"/>
      <c r="X30" s="214"/>
      <c r="Y30" s="214"/>
    </row>
    <row r="31" spans="3:25" x14ac:dyDescent="0.25">
      <c r="C31" s="63" t="s">
        <v>138</v>
      </c>
      <c r="D31" s="63" t="s">
        <v>139</v>
      </c>
      <c r="E31" s="370"/>
      <c r="F31" s="64" t="s">
        <v>85</v>
      </c>
      <c r="G31" s="65" t="s">
        <v>3</v>
      </c>
      <c r="H31" s="66" t="s">
        <v>25</v>
      </c>
      <c r="I31" s="67">
        <f>'Unit_Rates - $2015'!I26*1/Escalators!$G$12</f>
        <v>7.6639999999999979</v>
      </c>
      <c r="J31" s="370"/>
      <c r="K31" s="370"/>
      <c r="L31" s="2"/>
      <c r="M31" s="68"/>
      <c r="N31" s="21">
        <f>IF(ISNA(VLOOKUP($C31,KLO_Det!$C$17:$H$108,6,FALSE)),0,VLOOKUP($C31,KLO_Det!$C$17:$H$108,6,FALSE))</f>
        <v>4</v>
      </c>
      <c r="O31" s="21">
        <f>IF(ISNA(VLOOKUP($C31,Spare_Det!$C$17:$H$107,6,FALSE)),0,VLOOKUP($C31,Spare_Det!$C$17:$H$107,6,FALSE))</f>
        <v>0</v>
      </c>
      <c r="P31" s="21"/>
      <c r="Q31" s="21"/>
      <c r="R31" s="21"/>
      <c r="S31" s="21"/>
      <c r="T31" s="21"/>
      <c r="U31" s="21"/>
      <c r="W31" s="214"/>
      <c r="X31" s="214"/>
      <c r="Y31" s="214"/>
    </row>
    <row r="32" spans="3:25" x14ac:dyDescent="0.25">
      <c r="C32" s="63" t="s">
        <v>140</v>
      </c>
      <c r="D32" s="63" t="s">
        <v>140</v>
      </c>
      <c r="E32" s="370"/>
      <c r="F32" s="64" t="s">
        <v>85</v>
      </c>
      <c r="G32" s="65" t="s">
        <v>3</v>
      </c>
      <c r="H32" s="66" t="s">
        <v>25</v>
      </c>
      <c r="I32" s="67">
        <f>'Unit_Rates - $2015'!I27*1/Escalators!$G$12</f>
        <v>0</v>
      </c>
      <c r="J32" s="370"/>
      <c r="K32" s="370"/>
      <c r="L32" s="2"/>
      <c r="M32" s="68"/>
      <c r="N32" s="21">
        <f>IF(ISNA(VLOOKUP($C32,KLO_Det!$C$17:$H$108,6,FALSE)),0,VLOOKUP($C32,KLO_Det!$C$17:$H$108,6,FALSE))</f>
        <v>0</v>
      </c>
      <c r="O32" s="21">
        <f>IF(ISNA(VLOOKUP($C32,Spare_Det!$C$17:$H$107,6,FALSE)),0,VLOOKUP($C32,Spare_Det!$C$17:$H$107,6,FALSE))</f>
        <v>0</v>
      </c>
      <c r="P32" s="21"/>
      <c r="Q32" s="21"/>
      <c r="R32" s="21"/>
      <c r="S32" s="21"/>
      <c r="T32" s="21"/>
      <c r="U32" s="21"/>
      <c r="W32" s="214"/>
      <c r="X32" s="214"/>
      <c r="Y32" s="214"/>
    </row>
    <row r="33" spans="2:25" x14ac:dyDescent="0.25">
      <c r="C33" s="63" t="s">
        <v>141</v>
      </c>
      <c r="D33" s="63" t="s">
        <v>141</v>
      </c>
      <c r="E33" s="370"/>
      <c r="F33" s="64" t="s">
        <v>85</v>
      </c>
      <c r="G33" s="65" t="s">
        <v>3</v>
      </c>
      <c r="H33" s="66" t="s">
        <v>25</v>
      </c>
      <c r="I33" s="67">
        <f>'Unit_Rates - $2015'!I28*1/Escalators!$G$12</f>
        <v>0</v>
      </c>
      <c r="J33" s="370"/>
      <c r="K33" s="370"/>
      <c r="L33" s="2"/>
      <c r="M33" s="68"/>
      <c r="N33" s="21">
        <f>IF(ISNA(VLOOKUP($C33,KLO_Det!$C$17:$H$108,6,FALSE)),0,VLOOKUP($C33,KLO_Det!$C$17:$H$108,6,FALSE))</f>
        <v>2</v>
      </c>
      <c r="O33" s="21">
        <f>IF(ISNA(VLOOKUP($C33,Spare_Det!$C$17:$H$107,6,FALSE)),0,VLOOKUP($C33,Spare_Det!$C$17:$H$107,6,FALSE))</f>
        <v>0</v>
      </c>
      <c r="P33" s="21"/>
      <c r="Q33" s="21"/>
      <c r="R33" s="21"/>
      <c r="S33" s="21"/>
      <c r="T33" s="21"/>
      <c r="U33" s="21"/>
      <c r="W33" s="214"/>
      <c r="X33" s="214"/>
      <c r="Y33" s="214"/>
    </row>
    <row r="34" spans="2:25" x14ac:dyDescent="0.25">
      <c r="C34" s="63" t="s">
        <v>142</v>
      </c>
      <c r="D34" s="63" t="s">
        <v>142</v>
      </c>
      <c r="E34" s="370"/>
      <c r="F34" s="64" t="s">
        <v>85</v>
      </c>
      <c r="G34" s="65" t="s">
        <v>3</v>
      </c>
      <c r="H34" s="66" t="s">
        <v>25</v>
      </c>
      <c r="I34" s="67">
        <f>'Unit_Rates - $2015'!I29*1/Escalators!$G$12</f>
        <v>27.162999999999993</v>
      </c>
      <c r="J34" s="370"/>
      <c r="K34" s="370"/>
      <c r="L34" s="2"/>
      <c r="M34" s="68"/>
      <c r="N34" s="21">
        <f>IF(ISNA(VLOOKUP($C34,KLO_Det!$C$17:$H$108,6,FALSE)),0,VLOOKUP($C34,KLO_Det!$C$17:$H$108,6,FALSE))</f>
        <v>2</v>
      </c>
      <c r="O34" s="21">
        <f>IF(ISNA(VLOOKUP($C34,Spare_Det!$C$17:$H$107,6,FALSE)),0,VLOOKUP($C34,Spare_Det!$C$17:$H$107,6,FALSE))</f>
        <v>0</v>
      </c>
      <c r="P34" s="21"/>
      <c r="Q34" s="21"/>
      <c r="R34" s="21"/>
      <c r="S34" s="21"/>
      <c r="T34" s="21"/>
      <c r="U34" s="21"/>
      <c r="W34" s="214"/>
      <c r="X34" s="214"/>
      <c r="Y34" s="214"/>
    </row>
    <row r="35" spans="2:25" x14ac:dyDescent="0.25">
      <c r="C35" s="63" t="s">
        <v>143</v>
      </c>
      <c r="D35" s="63" t="s">
        <v>144</v>
      </c>
      <c r="E35" s="370"/>
      <c r="F35" s="64" t="s">
        <v>85</v>
      </c>
      <c r="G35" s="65" t="s">
        <v>3</v>
      </c>
      <c r="H35" s="66" t="s">
        <v>25</v>
      </c>
      <c r="I35" s="67">
        <f>'Unit_Rates - $2015'!I30*1/Escalators!$G$12</f>
        <v>0</v>
      </c>
      <c r="J35" s="370"/>
      <c r="K35" s="370"/>
      <c r="L35" s="2"/>
      <c r="M35" s="68"/>
      <c r="N35" s="21">
        <f>IF(ISNA(VLOOKUP($C35,KLO_Det!$C$17:$H$108,6,FALSE)),0,VLOOKUP($C35,KLO_Det!$C$17:$H$108,6,FALSE))</f>
        <v>0</v>
      </c>
      <c r="O35" s="21">
        <f>IF(ISNA(VLOOKUP($C35,Spare_Det!$C$17:$H$107,6,FALSE)),0,VLOOKUP($C35,Spare_Det!$C$17:$H$107,6,FALSE))</f>
        <v>0</v>
      </c>
      <c r="P35" s="21"/>
      <c r="Q35" s="21"/>
      <c r="R35" s="21"/>
      <c r="S35" s="21"/>
      <c r="T35" s="21"/>
      <c r="U35" s="21"/>
      <c r="W35" s="214"/>
      <c r="X35" s="214"/>
      <c r="Y35" s="214"/>
    </row>
    <row r="36" spans="2:25" x14ac:dyDescent="0.25">
      <c r="C36" s="63" t="s">
        <v>145</v>
      </c>
      <c r="D36" s="63" t="s">
        <v>145</v>
      </c>
      <c r="E36" s="370"/>
      <c r="F36" s="64" t="s">
        <v>85</v>
      </c>
      <c r="G36" s="65" t="s">
        <v>3</v>
      </c>
      <c r="H36" s="66" t="s">
        <v>25</v>
      </c>
      <c r="I36" s="67">
        <f>'Unit_Rates - $2015'!I31*1/Escalators!$G$12</f>
        <v>0.61999999999999977</v>
      </c>
      <c r="J36" s="370"/>
      <c r="K36" s="370"/>
      <c r="L36" s="2"/>
      <c r="M36" s="68"/>
      <c r="N36" s="21">
        <f>IF(ISNA(VLOOKUP($C36,KLO_Det!$C$17:$H$108,6,FALSE)),0,VLOOKUP($C36,KLO_Det!$C$17:$H$108,6,FALSE))</f>
        <v>2</v>
      </c>
      <c r="O36" s="21">
        <f>IF(ISNA(VLOOKUP($C36,Spare_Det!$C$17:$H$107,6,FALSE)),0,VLOOKUP($C36,Spare_Det!$C$17:$H$107,6,FALSE))</f>
        <v>0</v>
      </c>
      <c r="P36" s="21"/>
      <c r="Q36" s="21"/>
      <c r="R36" s="21"/>
      <c r="S36" s="21"/>
      <c r="T36" s="21"/>
      <c r="U36" s="21"/>
      <c r="W36" s="214"/>
      <c r="X36" s="214"/>
      <c r="Y36" s="214"/>
    </row>
    <row r="37" spans="2:25" x14ac:dyDescent="0.25">
      <c r="C37" s="63" t="s">
        <v>146</v>
      </c>
      <c r="D37" s="63" t="s">
        <v>146</v>
      </c>
      <c r="E37" s="370"/>
      <c r="F37" s="64" t="s">
        <v>85</v>
      </c>
      <c r="G37" s="65" t="s">
        <v>3</v>
      </c>
      <c r="H37" s="66" t="s">
        <v>25</v>
      </c>
      <c r="I37" s="67">
        <f>'Unit_Rates - $2015'!I32*1/Escalators!$G$12</f>
        <v>26.222306976744186</v>
      </c>
      <c r="J37" s="370"/>
      <c r="K37" s="370"/>
      <c r="L37" s="2"/>
      <c r="M37" s="68"/>
      <c r="N37" s="21">
        <f>IF(ISNA(VLOOKUP($C37,KLO_Det!$C$17:$H$108,6,FALSE)),0,VLOOKUP($C37,KLO_Det!$C$17:$H$108,6,FALSE))</f>
        <v>0</v>
      </c>
      <c r="O37" s="21">
        <f>IF(ISNA(VLOOKUP($C37,Spare_Det!$C$17:$H$107,6,FALSE)),0,VLOOKUP($C37,Spare_Det!$C$17:$H$107,6,FALSE))</f>
        <v>0</v>
      </c>
      <c r="P37" s="21"/>
      <c r="Q37" s="21"/>
      <c r="R37" s="21"/>
      <c r="S37" s="21"/>
      <c r="T37" s="21"/>
      <c r="U37" s="21"/>
      <c r="W37" s="214"/>
      <c r="X37" s="214"/>
      <c r="Y37" s="214"/>
    </row>
    <row r="38" spans="2:25" x14ac:dyDescent="0.25">
      <c r="C38" s="63" t="s">
        <v>147</v>
      </c>
      <c r="D38" s="63" t="s">
        <v>148</v>
      </c>
      <c r="E38" s="370"/>
      <c r="F38" s="64" t="s">
        <v>85</v>
      </c>
      <c r="G38" s="65" t="s">
        <v>3</v>
      </c>
      <c r="H38" s="66" t="s">
        <v>25</v>
      </c>
      <c r="I38" s="67">
        <f>'Unit_Rates - $2015'!I33*1/Escalators!$G$12</f>
        <v>93.853999999999985</v>
      </c>
      <c r="J38" s="371"/>
      <c r="K38" s="370"/>
      <c r="L38" s="2"/>
      <c r="M38" s="68"/>
      <c r="N38" s="21">
        <f>IF(ISNA(VLOOKUP($C38,KLO_Det!$C$17:$H$108,6,FALSE)),0,VLOOKUP($C38,KLO_Det!$C$17:$H$108,6,FALSE))</f>
        <v>0</v>
      </c>
      <c r="O38" s="21">
        <f>IF(ISNA(VLOOKUP($C38,Spare_Det!$C$17:$H$107,6,FALSE)),0,VLOOKUP($C38,Spare_Det!$C$17:$H$107,6,FALSE))</f>
        <v>0</v>
      </c>
      <c r="P38" s="21"/>
      <c r="Q38" s="21"/>
      <c r="R38" s="21"/>
      <c r="S38" s="21"/>
      <c r="T38" s="21"/>
      <c r="U38" s="21"/>
      <c r="W38" s="214"/>
      <c r="X38" s="214"/>
      <c r="Y38" s="214"/>
    </row>
    <row r="39" spans="2:25" x14ac:dyDescent="0.25">
      <c r="C39" s="63" t="s">
        <v>149</v>
      </c>
      <c r="D39" s="63" t="s">
        <v>150</v>
      </c>
      <c r="E39" s="370"/>
      <c r="F39" s="64" t="s">
        <v>85</v>
      </c>
      <c r="G39" s="65" t="s">
        <v>3</v>
      </c>
      <c r="H39" s="66" t="s">
        <v>25</v>
      </c>
      <c r="I39" s="67">
        <f>'Unit_Rates - $2015'!I34*1/Escalators!$G$12</f>
        <v>0</v>
      </c>
      <c r="J39" s="370"/>
      <c r="K39" s="370"/>
      <c r="L39" s="2"/>
      <c r="M39" s="68"/>
      <c r="N39" s="21">
        <f>IF(ISNA(VLOOKUP($C39,KLO_Det!$C$17:$H$108,6,FALSE)),0,VLOOKUP($C39,KLO_Det!$C$17:$H$108,6,FALSE))</f>
        <v>0</v>
      </c>
      <c r="O39" s="21">
        <f>IF(ISNA(VLOOKUP($C39,Spare_Det!$C$17:$H$107,6,FALSE)),0,VLOOKUP($C39,Spare_Det!$C$17:$H$107,6,FALSE))</f>
        <v>0</v>
      </c>
      <c r="P39" s="21"/>
      <c r="Q39" s="21"/>
      <c r="R39" s="21"/>
      <c r="S39" s="21"/>
      <c r="T39" s="21"/>
      <c r="U39" s="21"/>
      <c r="W39" s="214"/>
      <c r="X39" s="214"/>
      <c r="Y39" s="214"/>
    </row>
    <row r="40" spans="2:25" x14ac:dyDescent="0.25">
      <c r="C40" s="63" t="s">
        <v>151</v>
      </c>
      <c r="D40" s="63" t="s">
        <v>152</v>
      </c>
      <c r="E40" s="370"/>
      <c r="F40" s="64" t="s">
        <v>85</v>
      </c>
      <c r="G40" s="65" t="s">
        <v>3</v>
      </c>
      <c r="H40" s="66" t="s">
        <v>25</v>
      </c>
      <c r="I40" s="67">
        <f>'Unit_Rates - $2015'!I35*1/Escalators!$G$12</f>
        <v>0</v>
      </c>
      <c r="J40" s="370"/>
      <c r="K40" s="370"/>
      <c r="L40" s="2"/>
      <c r="M40" s="68"/>
      <c r="N40" s="21">
        <f>IF(ISNA(VLOOKUP($C40,KLO_Det!$C$17:$H$108,6,FALSE)),0,VLOOKUP($C40,KLO_Det!$C$17:$H$108,6,FALSE))</f>
        <v>0</v>
      </c>
      <c r="O40" s="21">
        <f>IF(ISNA(VLOOKUP($C40,Spare_Det!$C$17:$H$107,6,FALSE)),0,VLOOKUP($C40,Spare_Det!$C$17:$H$107,6,FALSE))</f>
        <v>0</v>
      </c>
      <c r="P40" s="21"/>
      <c r="Q40" s="21"/>
      <c r="R40" s="21"/>
      <c r="S40" s="21"/>
      <c r="T40" s="21"/>
      <c r="U40" s="21"/>
      <c r="W40" s="214"/>
      <c r="X40" s="214"/>
      <c r="Y40" s="214"/>
    </row>
    <row r="41" spans="2:25" x14ac:dyDescent="0.25">
      <c r="B41" s="308" t="s">
        <v>452</v>
      </c>
      <c r="C41" s="63" t="s">
        <v>377</v>
      </c>
      <c r="D41" s="63" t="s">
        <v>378</v>
      </c>
      <c r="E41" s="370"/>
      <c r="F41" s="64" t="s">
        <v>85</v>
      </c>
      <c r="G41" s="65" t="s">
        <v>3</v>
      </c>
      <c r="H41" s="66" t="s">
        <v>25</v>
      </c>
      <c r="I41" s="67">
        <v>109.17591463414668</v>
      </c>
      <c r="J41" s="370"/>
      <c r="K41" s="370"/>
      <c r="L41" s="321"/>
      <c r="M41" s="68"/>
      <c r="N41" s="21">
        <f>IF(ISNA(VLOOKUP($C41,KLO_Det!$C$17:$H$108,6,FALSE)),0,VLOOKUP($C41,KLO_Det!$C$17:$H$108,6,FALSE))</f>
        <v>2</v>
      </c>
      <c r="O41" s="21">
        <f>IF(ISNA(VLOOKUP($C41,Spare_Det!$C$17:$H$107,6,FALSE)),0,VLOOKUP($C41,Spare_Det!$C$17:$H$107,6,FALSE))</f>
        <v>0</v>
      </c>
      <c r="P41" s="21"/>
      <c r="Q41" s="21"/>
      <c r="R41" s="21"/>
      <c r="S41" s="21"/>
      <c r="T41" s="21"/>
      <c r="U41" s="21"/>
      <c r="W41" s="214"/>
      <c r="X41" s="214"/>
      <c r="Y41" s="214"/>
    </row>
    <row r="42" spans="2:25" x14ac:dyDescent="0.25">
      <c r="C42" s="63" t="s">
        <v>153</v>
      </c>
      <c r="D42" s="63" t="s">
        <v>154</v>
      </c>
      <c r="E42" s="370"/>
      <c r="F42" s="64" t="s">
        <v>85</v>
      </c>
      <c r="G42" s="65" t="s">
        <v>3</v>
      </c>
      <c r="H42" s="66" t="s">
        <v>25</v>
      </c>
      <c r="I42" s="67">
        <f>'Unit_Rates - $2015'!I36*1/Escalators!$G$12</f>
        <v>227.62999999999997</v>
      </c>
      <c r="J42" s="371"/>
      <c r="K42" s="370"/>
      <c r="L42" s="2"/>
      <c r="M42" s="68"/>
      <c r="N42" s="21">
        <f>IF(ISNA(VLOOKUP($C42,KLO_Det!$C$17:$H$108,6,FALSE)),0,VLOOKUP($C42,KLO_Det!$C$17:$H$108,6,FALSE))</f>
        <v>0</v>
      </c>
      <c r="O42" s="21">
        <f>IF(ISNA(VLOOKUP($C42,Spare_Det!$C$17:$H$107,6,FALSE)),0,VLOOKUP($C42,Spare_Det!$C$17:$H$107,6,FALSE))</f>
        <v>0</v>
      </c>
      <c r="P42" s="21"/>
      <c r="Q42" s="21"/>
      <c r="R42" s="21"/>
      <c r="S42" s="21"/>
      <c r="T42" s="21"/>
      <c r="U42" s="21"/>
      <c r="W42" s="214"/>
      <c r="X42" s="214"/>
      <c r="Y42" s="214"/>
    </row>
    <row r="43" spans="2:25" x14ac:dyDescent="0.25">
      <c r="C43" s="63" t="s">
        <v>155</v>
      </c>
      <c r="D43" s="63" t="s">
        <v>156</v>
      </c>
      <c r="E43" s="370"/>
      <c r="F43" s="64" t="s">
        <v>85</v>
      </c>
      <c r="G43" s="65" t="s">
        <v>3</v>
      </c>
      <c r="H43" s="66" t="s">
        <v>25</v>
      </c>
      <c r="I43" s="67">
        <f>'Unit_Rates - $2015'!I37*1/Escalators!$G$12</f>
        <v>174.5855255813953</v>
      </c>
      <c r="J43" s="371"/>
      <c r="K43" s="370"/>
      <c r="L43" s="265"/>
      <c r="M43" s="213"/>
      <c r="N43" s="21">
        <f>IF(ISNA(VLOOKUP($C43,KLO_Det!$C$17:$H$108,6,FALSE)),0,VLOOKUP($C43,KLO_Det!$C$17:$H$108,6,FALSE))</f>
        <v>0</v>
      </c>
      <c r="O43" s="21">
        <f>IF(ISNA(VLOOKUP($C43,Spare_Det!$C$17:$H$107,6,FALSE)),0,VLOOKUP($C43,Spare_Det!$C$17:$H$107,6,FALSE))</f>
        <v>0</v>
      </c>
      <c r="P43" s="21"/>
      <c r="Q43" s="21"/>
      <c r="R43" s="21"/>
      <c r="S43" s="21"/>
      <c r="T43" s="21"/>
      <c r="U43" s="21"/>
      <c r="W43" s="214"/>
      <c r="X43" s="214"/>
      <c r="Y43" s="214"/>
    </row>
    <row r="44" spans="2:25" x14ac:dyDescent="0.25">
      <c r="C44" s="252" t="s">
        <v>157</v>
      </c>
      <c r="D44" s="63" t="s">
        <v>158</v>
      </c>
      <c r="E44" s="370"/>
      <c r="F44" s="64" t="s">
        <v>85</v>
      </c>
      <c r="G44" s="65" t="s">
        <v>3</v>
      </c>
      <c r="H44" s="66" t="s">
        <v>25</v>
      </c>
      <c r="I44" s="67">
        <f>'Unit_Rates - $2015'!I38*1/Escalators!$G$12</f>
        <v>369.03899999999987</v>
      </c>
      <c r="J44" s="371"/>
      <c r="K44" s="370"/>
      <c r="L44" s="291"/>
      <c r="M44" s="213"/>
      <c r="N44" s="21">
        <f>IF(ISNA(VLOOKUP($C44,KLO_Det!$C$17:$H$108,6,FALSE)),0,VLOOKUP($C44,KLO_Det!$C$17:$H$108,6,FALSE))</f>
        <v>0</v>
      </c>
      <c r="O44" s="21">
        <f>IF(ISNA(VLOOKUP($C44,Spare_Det!$C$17:$H$107,6,FALSE)),0,VLOOKUP($C44,Spare_Det!$C$17:$H$107,6,FALSE))</f>
        <v>0</v>
      </c>
      <c r="P44" s="21"/>
      <c r="Q44" s="21"/>
      <c r="R44" s="21"/>
      <c r="S44" s="21"/>
      <c r="T44" s="21"/>
      <c r="U44" s="21"/>
      <c r="W44" s="214"/>
      <c r="X44" s="214"/>
      <c r="Y44" s="214"/>
    </row>
    <row r="45" spans="2:25" x14ac:dyDescent="0.25">
      <c r="C45" s="63" t="s">
        <v>159</v>
      </c>
      <c r="D45" s="63" t="s">
        <v>160</v>
      </c>
      <c r="E45" s="370"/>
      <c r="F45" s="64" t="s">
        <v>85</v>
      </c>
      <c r="G45" s="65" t="s">
        <v>3</v>
      </c>
      <c r="H45" s="66" t="s">
        <v>25</v>
      </c>
      <c r="I45" s="67">
        <f>'Unit_Rates - $2015'!I39*1/Escalators!$G$12</f>
        <v>35.740586046511623</v>
      </c>
      <c r="J45" s="370"/>
      <c r="K45" s="370"/>
      <c r="L45" s="2"/>
      <c r="M45" s="68"/>
      <c r="N45" s="21">
        <f>IF(ISNA(VLOOKUP($C45,KLO_Det!$C$17:$H$108,6,FALSE)),0,VLOOKUP($C45,KLO_Det!$C$17:$H$108,6,FALSE))</f>
        <v>0</v>
      </c>
      <c r="O45" s="21">
        <f>IF(ISNA(VLOOKUP($C45,Spare_Det!$C$17:$H$107,6,FALSE)),0,VLOOKUP($C45,Spare_Det!$C$17:$H$107,6,FALSE))</f>
        <v>0</v>
      </c>
      <c r="P45" s="21"/>
      <c r="Q45" s="21"/>
      <c r="R45" s="21"/>
      <c r="S45" s="21"/>
      <c r="T45" s="21"/>
      <c r="U45" s="21"/>
      <c r="W45" s="214"/>
      <c r="X45" s="214"/>
      <c r="Y45" s="214"/>
    </row>
    <row r="46" spans="2:25" x14ac:dyDescent="0.25">
      <c r="C46" s="63" t="s">
        <v>159</v>
      </c>
      <c r="D46" s="63" t="s">
        <v>161</v>
      </c>
      <c r="E46" s="370"/>
      <c r="F46" s="64" t="s">
        <v>85</v>
      </c>
      <c r="G46" s="65" t="s">
        <v>3</v>
      </c>
      <c r="H46" s="66" t="s">
        <v>25</v>
      </c>
      <c r="I46" s="67">
        <f>'Unit_Rates - $2015'!I40*1/Escalators!$G$12</f>
        <v>11.046669767441859</v>
      </c>
      <c r="J46" s="370"/>
      <c r="K46" s="370"/>
      <c r="L46" s="2"/>
      <c r="M46" s="68"/>
      <c r="N46" s="21">
        <f>IF(ISNA(VLOOKUP($C46,KLO_Det!$C$17:$H$108,6,FALSE)),0,VLOOKUP($C46,KLO_Det!$C$17:$H$108,6,FALSE))</f>
        <v>0</v>
      </c>
      <c r="O46" s="21">
        <f>IF(ISNA(VLOOKUP($C46,Spare_Det!$C$17:$H$107,6,FALSE)),0,VLOOKUP($C46,Spare_Det!$C$17:$H$107,6,FALSE))</f>
        <v>0</v>
      </c>
      <c r="W46" s="214"/>
      <c r="X46" s="214"/>
      <c r="Y46" s="214"/>
    </row>
    <row r="47" spans="2:25" x14ac:dyDescent="0.25">
      <c r="C47" s="63" t="s">
        <v>159</v>
      </c>
      <c r="D47" s="63" t="s">
        <v>162</v>
      </c>
      <c r="E47" s="370"/>
      <c r="F47" s="64" t="s">
        <v>85</v>
      </c>
      <c r="G47" s="65" t="s">
        <v>3</v>
      </c>
      <c r="H47" s="66" t="s">
        <v>25</v>
      </c>
      <c r="I47" s="67">
        <f>'Unit_Rates - $2015'!I41*1/Escalators!$G$12</f>
        <v>1.8815813953488372</v>
      </c>
      <c r="J47" s="370"/>
      <c r="K47" s="370"/>
      <c r="L47" s="2"/>
      <c r="M47" s="68"/>
      <c r="N47" s="21">
        <f>IF(ISNA(VLOOKUP($C47,KLO_Det!$C$17:$H$108,6,FALSE)),0,VLOOKUP($C47,KLO_Det!$C$17:$H$108,6,FALSE))</f>
        <v>0</v>
      </c>
      <c r="O47" s="21">
        <f>IF(ISNA(VLOOKUP($C47,Spare_Det!$C$17:$H$107,6,FALSE)),0,VLOOKUP($C47,Spare_Det!$C$17:$H$107,6,FALSE))</f>
        <v>0</v>
      </c>
      <c r="W47" s="214"/>
      <c r="X47" s="214"/>
      <c r="Y47" s="214"/>
    </row>
    <row r="48" spans="2:25" x14ac:dyDescent="0.25">
      <c r="C48" s="63" t="s">
        <v>163</v>
      </c>
      <c r="D48" s="63" t="s">
        <v>164</v>
      </c>
      <c r="E48" s="370"/>
      <c r="F48" s="64" t="s">
        <v>85</v>
      </c>
      <c r="G48" s="65" t="s">
        <v>3</v>
      </c>
      <c r="H48" s="66" t="s">
        <v>25</v>
      </c>
      <c r="I48" s="72">
        <f>'Unit_Rates - $2015'!I42*1/Escalators!$G$12</f>
        <v>4.9999999999999996E-2</v>
      </c>
      <c r="J48" s="372"/>
      <c r="K48" s="370"/>
      <c r="L48" s="2"/>
      <c r="M48" s="68"/>
      <c r="N48" s="21">
        <f>IF(ISNA(VLOOKUP($C48,KLO_Det!$C$17:$H$108,6,FALSE)),0,VLOOKUP($C48,KLO_Det!$C$17:$H$108,6,FALSE))</f>
        <v>0</v>
      </c>
      <c r="O48" s="21">
        <f>IF(ISNA(VLOOKUP($C48,Spare_Det!$C$17:$H$107,6,FALSE)),0,VLOOKUP($C48,Spare_Det!$C$17:$H$107,6,FALSE))</f>
        <v>0</v>
      </c>
      <c r="P48" s="21"/>
      <c r="Q48" s="21"/>
      <c r="R48" s="21"/>
      <c r="S48" s="21"/>
      <c r="T48" s="21"/>
      <c r="U48" s="21"/>
      <c r="W48" s="214"/>
      <c r="X48" s="214"/>
      <c r="Y48" s="214"/>
    </row>
    <row r="49" spans="1:25" x14ac:dyDescent="0.25">
      <c r="C49" s="63" t="s">
        <v>165</v>
      </c>
      <c r="D49" s="63" t="s">
        <v>166</v>
      </c>
      <c r="E49" s="370"/>
      <c r="F49" s="64" t="s">
        <v>85</v>
      </c>
      <c r="G49" s="65" t="s">
        <v>3</v>
      </c>
      <c r="H49" s="66" t="s">
        <v>25</v>
      </c>
      <c r="I49" s="67">
        <f>'Unit_Rates - $2015'!I43*1/Escalators!$G$12</f>
        <v>0</v>
      </c>
      <c r="J49" s="370"/>
      <c r="K49" s="370"/>
      <c r="L49" s="2"/>
      <c r="M49" s="68"/>
      <c r="N49" s="21">
        <f>IF(ISNA(VLOOKUP($C49,KLO_Det!$C$17:$H$108,6,FALSE)),0,VLOOKUP($C49,KLO_Det!$C$17:$H$108,6,FALSE))</f>
        <v>2</v>
      </c>
      <c r="O49" s="21">
        <f>IF(ISNA(VLOOKUP($C49,Spare_Det!$C$17:$H$107,6,FALSE)),0,VLOOKUP($C49,Spare_Det!$C$17:$H$107,6,FALSE))</f>
        <v>0</v>
      </c>
      <c r="P49" s="21"/>
      <c r="Q49" s="21"/>
      <c r="R49" s="21"/>
      <c r="S49" s="21"/>
      <c r="T49" s="21"/>
      <c r="U49" s="21"/>
      <c r="W49" s="214"/>
      <c r="X49" s="214"/>
      <c r="Y49" s="214"/>
    </row>
    <row r="50" spans="1:25" s="70" customFormat="1" x14ac:dyDescent="0.25">
      <c r="C50" s="63" t="s">
        <v>167</v>
      </c>
      <c r="D50" s="63" t="s">
        <v>168</v>
      </c>
      <c r="E50" s="370"/>
      <c r="F50" s="64" t="s">
        <v>85</v>
      </c>
      <c r="G50" s="65" t="s">
        <v>3</v>
      </c>
      <c r="H50" s="66" t="s">
        <v>25</v>
      </c>
      <c r="I50" s="67">
        <f>'Unit_Rates - $2015'!I44*1/Escalators!$G$12</f>
        <v>131.39534883720927</v>
      </c>
      <c r="J50" s="370"/>
      <c r="K50" s="370"/>
      <c r="L50" s="2"/>
      <c r="M50" s="68"/>
      <c r="N50" s="21">
        <f>IF(ISNA(VLOOKUP($C50,KLO_Det!$C$17:$H$108,6,FALSE)),0,VLOOKUP($C50,KLO_Det!$C$17:$H$108,6,FALSE))</f>
        <v>0</v>
      </c>
      <c r="O50" s="21">
        <f>IF(ISNA(VLOOKUP($C50,Spare_Det!$C$17:$H$107,6,FALSE)),0,VLOOKUP($C50,Spare_Det!$C$17:$H$107,6,FALSE))</f>
        <v>0</v>
      </c>
      <c r="P50" s="21"/>
      <c r="Q50" s="21"/>
      <c r="R50" s="21"/>
      <c r="S50" s="21"/>
      <c r="T50" s="21"/>
      <c r="U50" s="21"/>
      <c r="W50" s="214"/>
      <c r="X50" s="214"/>
      <c r="Y50" s="214"/>
    </row>
    <row r="51" spans="1:25" s="70" customFormat="1" x14ac:dyDescent="0.25">
      <c r="C51" s="63" t="s">
        <v>169</v>
      </c>
      <c r="D51" s="63" t="s">
        <v>170</v>
      </c>
      <c r="E51" s="370"/>
      <c r="F51" s="64" t="s">
        <v>85</v>
      </c>
      <c r="G51" s="65" t="s">
        <v>3</v>
      </c>
      <c r="H51" s="66" t="s">
        <v>25</v>
      </c>
      <c r="I51" s="67">
        <f>'Unit_Rates - $2015'!I45*1/Escalators!$G$12</f>
        <v>0</v>
      </c>
      <c r="J51" s="370"/>
      <c r="K51" s="370"/>
      <c r="L51" s="2"/>
      <c r="M51" s="68"/>
      <c r="N51" s="21">
        <f>IF(ISNA(VLOOKUP($C51,KLO_Det!$C$17:$H$108,6,FALSE)),0,VLOOKUP($C51,KLO_Det!$C$17:$H$108,6,FALSE))</f>
        <v>0</v>
      </c>
      <c r="O51" s="21">
        <f>IF(ISNA(VLOOKUP($C51,Spare_Det!$C$17:$H$107,6,FALSE)),0,VLOOKUP($C51,Spare_Det!$C$17:$H$107,6,FALSE))</f>
        <v>0</v>
      </c>
      <c r="P51" s="21"/>
      <c r="Q51" s="21"/>
      <c r="R51" s="21"/>
      <c r="S51" s="21"/>
      <c r="T51" s="21"/>
      <c r="U51" s="21"/>
      <c r="W51" s="214"/>
      <c r="X51" s="214"/>
      <c r="Y51" s="214"/>
    </row>
    <row r="52" spans="1:25" s="70" customFormat="1" x14ac:dyDescent="0.25">
      <c r="C52" s="63" t="s">
        <v>171</v>
      </c>
      <c r="D52" s="63" t="s">
        <v>170</v>
      </c>
      <c r="E52" s="370"/>
      <c r="F52" s="64" t="s">
        <v>85</v>
      </c>
      <c r="G52" s="65" t="s">
        <v>3</v>
      </c>
      <c r="H52" s="66" t="s">
        <v>25</v>
      </c>
      <c r="I52" s="67">
        <v>430</v>
      </c>
      <c r="J52" s="370"/>
      <c r="K52" s="370"/>
      <c r="L52" s="2"/>
      <c r="M52" s="68"/>
      <c r="N52" s="21">
        <f>IF(ISNA(VLOOKUP($C52,KLO_Det!$C$17:$H$108,6,FALSE)),0,VLOOKUP($C52,KLO_Det!$C$17:$H$108,6,FALSE))</f>
        <v>0</v>
      </c>
      <c r="O52" s="21">
        <f>IF(ISNA(VLOOKUP($C52,Spare_Det!$C$17:$H$107,6,FALSE)),0,VLOOKUP($C52,Spare_Det!$C$17:$H$107,6,FALSE))</f>
        <v>0</v>
      </c>
      <c r="P52" s="21"/>
      <c r="Q52" s="21"/>
      <c r="R52" s="21"/>
      <c r="S52" s="21"/>
      <c r="T52" s="21"/>
      <c r="U52" s="21"/>
      <c r="W52" s="214"/>
      <c r="X52" s="214"/>
      <c r="Y52" s="214"/>
    </row>
    <row r="53" spans="1:25" s="70" customFormat="1" x14ac:dyDescent="0.25">
      <c r="C53" s="217"/>
      <c r="D53" s="217"/>
      <c r="E53" s="150"/>
      <c r="F53" s="232"/>
      <c r="G53" s="233"/>
      <c r="H53" s="234"/>
      <c r="I53" s="150"/>
      <c r="J53" s="150"/>
      <c r="K53" s="150"/>
      <c r="L53" s="228"/>
      <c r="M53" s="68"/>
      <c r="N53" s="68"/>
      <c r="O53" s="68"/>
      <c r="Q53"/>
      <c r="R53"/>
      <c r="S53"/>
      <c r="T53"/>
      <c r="U53"/>
      <c r="W53" s="214"/>
      <c r="X53" s="214"/>
      <c r="Y53" s="214"/>
    </row>
    <row r="54" spans="1:25" s="70" customFormat="1" x14ac:dyDescent="0.25">
      <c r="B54" s="302" t="s">
        <v>346</v>
      </c>
      <c r="C54" s="217"/>
      <c r="D54" s="217"/>
      <c r="E54" s="150"/>
      <c r="F54" s="232"/>
      <c r="G54" s="233"/>
      <c r="H54" s="234"/>
      <c r="I54" s="150"/>
      <c r="J54" s="150"/>
      <c r="K54" s="68"/>
      <c r="L54" s="68"/>
      <c r="N54" s="68"/>
      <c r="Q54"/>
      <c r="R54"/>
      <c r="S54"/>
      <c r="T54"/>
      <c r="U54"/>
      <c r="W54" s="214"/>
      <c r="X54" s="214"/>
      <c r="Y54" s="214"/>
    </row>
    <row r="55" spans="1:25" s="70" customFormat="1" x14ac:dyDescent="0.25">
      <c r="C55" s="217"/>
      <c r="D55" s="217"/>
      <c r="E55" s="150"/>
      <c r="F55" s="232"/>
      <c r="G55" s="233"/>
      <c r="H55" s="234"/>
      <c r="I55" s="150"/>
      <c r="J55" s="150"/>
      <c r="K55" s="150"/>
      <c r="L55" s="228"/>
      <c r="M55" s="68"/>
      <c r="N55" s="68"/>
      <c r="O55" s="68"/>
      <c r="Q55"/>
      <c r="R55"/>
      <c r="S55"/>
      <c r="T55"/>
      <c r="U55"/>
      <c r="W55" s="214"/>
      <c r="X55" s="214"/>
      <c r="Y55" s="214"/>
    </row>
    <row r="56" spans="1:25" s="70" customFormat="1" x14ac:dyDescent="0.25">
      <c r="B56" s="292"/>
      <c r="C56" s="13"/>
      <c r="D56" s="13"/>
      <c r="E56" s="60" t="s">
        <v>101</v>
      </c>
      <c r="F56" s="13"/>
      <c r="G56" s="12"/>
      <c r="H56" s="12"/>
      <c r="I56" s="13"/>
      <c r="J56" s="13"/>
      <c r="K56" s="13"/>
      <c r="L56" s="228"/>
      <c r="M56" s="68"/>
      <c r="N56" s="68"/>
      <c r="O56" s="68"/>
      <c r="Q56"/>
      <c r="R56"/>
      <c r="S56"/>
      <c r="T56"/>
      <c r="U56"/>
      <c r="W56" s="214"/>
      <c r="X56" s="214"/>
      <c r="Y56" s="214"/>
    </row>
    <row r="57" spans="1:25" s="70" customFormat="1" x14ac:dyDescent="0.25">
      <c r="B57" s="292"/>
      <c r="C57" s="61" t="s">
        <v>103</v>
      </c>
      <c r="D57" s="61" t="s">
        <v>104</v>
      </c>
      <c r="E57" s="62" t="s">
        <v>105</v>
      </c>
      <c r="F57" s="61" t="s">
        <v>106</v>
      </c>
      <c r="G57" s="61" t="s">
        <v>5</v>
      </c>
      <c r="H57" s="61" t="s">
        <v>18</v>
      </c>
      <c r="I57" s="61" t="s">
        <v>19</v>
      </c>
      <c r="J57" s="61" t="s">
        <v>107</v>
      </c>
      <c r="K57" s="61" t="s">
        <v>23</v>
      </c>
      <c r="L57" s="228"/>
      <c r="M57" s="68"/>
      <c r="N57" s="68"/>
      <c r="O57" s="68"/>
      <c r="P57" s="240"/>
      <c r="Q57"/>
      <c r="R57"/>
      <c r="S57"/>
      <c r="T57"/>
      <c r="U57"/>
      <c r="W57" s="214"/>
      <c r="X57" s="214"/>
      <c r="Y57" s="214"/>
    </row>
    <row r="58" spans="1:25" s="70" customFormat="1" x14ac:dyDescent="0.25">
      <c r="A58" s="294" t="s">
        <v>338</v>
      </c>
      <c r="C58" s="239" t="s">
        <v>314</v>
      </c>
      <c r="D58" s="239" t="s">
        <v>317</v>
      </c>
      <c r="E58" s="370"/>
      <c r="F58" s="64" t="s">
        <v>85</v>
      </c>
      <c r="G58" s="65" t="s">
        <v>3</v>
      </c>
      <c r="H58" s="66" t="s">
        <v>25</v>
      </c>
      <c r="I58" s="67">
        <v>185.47500200000002</v>
      </c>
      <c r="J58" s="370"/>
      <c r="K58" s="370"/>
      <c r="L58" s="235"/>
      <c r="M58" s="68"/>
      <c r="N58" s="21">
        <f>IF(ISNA(VLOOKUP($C58,KLO_Det!$C$17:$H$108,6,FALSE)),0,VLOOKUP($C58,KLO_Det!$C$17:$H$108,6,FALSE))</f>
        <v>0</v>
      </c>
      <c r="O58" s="21">
        <f>IF(ISNA(VLOOKUP($C58,Spare_Det!$C$17:$H$107,6,FALSE)),0,VLOOKUP($C58,Spare_Det!$C$17:$H$107,6,FALSE))</f>
        <v>0</v>
      </c>
      <c r="P58" s="21"/>
      <c r="Q58" s="21"/>
      <c r="R58" s="21"/>
      <c r="S58" s="21"/>
      <c r="T58" s="21"/>
      <c r="U58" s="21"/>
      <c r="W58" s="214"/>
      <c r="X58" s="214"/>
      <c r="Y58" s="214"/>
    </row>
    <row r="59" spans="1:25" s="70" customFormat="1" x14ac:dyDescent="0.25">
      <c r="A59" s="294" t="s">
        <v>338</v>
      </c>
      <c r="C59" s="239" t="s">
        <v>315</v>
      </c>
      <c r="D59" s="239" t="s">
        <v>315</v>
      </c>
      <c r="E59" s="370"/>
      <c r="F59" s="64" t="s">
        <v>85</v>
      </c>
      <c r="G59" s="65" t="s">
        <v>3</v>
      </c>
      <c r="H59" s="66" t="s">
        <v>25</v>
      </c>
      <c r="I59" s="67">
        <v>74.154499800000011</v>
      </c>
      <c r="J59" s="370"/>
      <c r="K59" s="370"/>
      <c r="L59" s="235"/>
      <c r="M59" s="68"/>
      <c r="N59" s="21">
        <f>IF(ISNA(VLOOKUP($C59,KLO_Det!$C$17:$H$108,6,FALSE)),0,VLOOKUP($C59,KLO_Det!$C$17:$H$108,6,FALSE))</f>
        <v>0</v>
      </c>
      <c r="O59" s="21">
        <f>IF(ISNA(VLOOKUP($C59,Spare_Det!$C$17:$H$107,6,FALSE)),0,VLOOKUP($C59,Spare_Det!$C$17:$H$107,6,FALSE))</f>
        <v>0</v>
      </c>
      <c r="P59" s="21"/>
      <c r="Q59" s="21"/>
      <c r="R59" s="21"/>
      <c r="S59" s="21"/>
      <c r="T59" s="21"/>
      <c r="U59" s="21"/>
      <c r="W59" s="214"/>
      <c r="X59" s="214"/>
      <c r="Y59" s="214"/>
    </row>
    <row r="60" spans="1:25" s="70" customFormat="1" x14ac:dyDescent="0.25">
      <c r="A60" s="294" t="s">
        <v>338</v>
      </c>
      <c r="C60" s="239" t="s">
        <v>316</v>
      </c>
      <c r="D60" s="239" t="s">
        <v>316</v>
      </c>
      <c r="E60" s="370"/>
      <c r="F60" s="64" t="s">
        <v>85</v>
      </c>
      <c r="G60" s="65" t="s">
        <v>3</v>
      </c>
      <c r="H60" s="66" t="s">
        <v>25</v>
      </c>
      <c r="I60" s="67">
        <v>37.493999250000002</v>
      </c>
      <c r="J60" s="370"/>
      <c r="K60" s="370"/>
      <c r="L60" s="235"/>
      <c r="M60" s="68"/>
      <c r="N60" s="21">
        <f>IF(ISNA(VLOOKUP($C60,KLO_Det!$C$17:$H$108,6,FALSE)),0,VLOOKUP($C60,KLO_Det!$C$17:$H$108,6,FALSE))</f>
        <v>0</v>
      </c>
      <c r="O60" s="21">
        <f>IF(ISNA(VLOOKUP($C60,Spare_Det!$C$17:$H$107,6,FALSE)),0,VLOOKUP($C60,Spare_Det!$C$17:$H$107,6,FALSE))</f>
        <v>0</v>
      </c>
      <c r="P60" s="21"/>
      <c r="Q60" s="21"/>
      <c r="R60" s="21"/>
      <c r="S60" s="21"/>
      <c r="T60" s="21"/>
      <c r="U60" s="21"/>
      <c r="W60" s="214"/>
      <c r="X60" s="214"/>
      <c r="Y60" s="214"/>
    </row>
    <row r="61" spans="1:25" s="70" customFormat="1" x14ac:dyDescent="0.25">
      <c r="A61" s="294" t="s">
        <v>338</v>
      </c>
      <c r="C61" s="63" t="s">
        <v>301</v>
      </c>
      <c r="D61" s="63" t="s">
        <v>302</v>
      </c>
      <c r="E61" s="370"/>
      <c r="F61" s="64" t="s">
        <v>85</v>
      </c>
      <c r="G61" s="65" t="s">
        <v>3</v>
      </c>
      <c r="H61" s="66" t="s">
        <v>25</v>
      </c>
      <c r="I61" s="67">
        <v>787.07449999999994</v>
      </c>
      <c r="J61" s="370"/>
      <c r="K61" s="370"/>
      <c r="L61" s="228"/>
      <c r="M61" s="68"/>
      <c r="N61" s="21">
        <f>IF(ISNA(VLOOKUP($C61,KLO_Det!$C$17:$H$108,6,FALSE)),0,VLOOKUP($C61,KLO_Det!$C$17:$H$108,6,FALSE))</f>
        <v>0</v>
      </c>
      <c r="O61" s="21">
        <f>IF(ISNA(VLOOKUP($C61,Spare_Det!$C$17:$H$107,6,FALSE)),0,VLOOKUP($C61,Spare_Det!$C$17:$H$107,6,FALSE))</f>
        <v>0</v>
      </c>
      <c r="P61" s="21"/>
      <c r="Q61" s="21"/>
      <c r="R61" s="21"/>
      <c r="S61" s="21"/>
      <c r="T61" s="21"/>
      <c r="U61" s="21"/>
      <c r="W61" s="214"/>
      <c r="X61" s="214"/>
      <c r="Y61" s="214"/>
    </row>
    <row r="62" spans="1:25" s="70" customFormat="1" x14ac:dyDescent="0.25">
      <c r="A62" s="294" t="s">
        <v>338</v>
      </c>
      <c r="C62" s="63" t="s">
        <v>354</v>
      </c>
      <c r="D62" s="63" t="s">
        <v>355</v>
      </c>
      <c r="E62" s="370"/>
      <c r="F62" s="64" t="s">
        <v>85</v>
      </c>
      <c r="G62" s="65" t="s">
        <v>3</v>
      </c>
      <c r="H62" s="66" t="s">
        <v>25</v>
      </c>
      <c r="I62" s="67">
        <v>169.007993</v>
      </c>
      <c r="J62" s="370"/>
      <c r="K62" s="370"/>
      <c r="L62" s="305"/>
      <c r="M62" s="68"/>
      <c r="N62" s="21">
        <f>IF(ISNA(VLOOKUP($C62,KLO_Det!$C$17:$H$108,6,FALSE)),0,VLOOKUP($C62,KLO_Det!$C$17:$H$108,6,FALSE))</f>
        <v>0</v>
      </c>
      <c r="O62" s="21">
        <f>IF(ISNA(VLOOKUP($C62,Spare_Det!$C$17:$H$107,6,FALSE)),0,VLOOKUP($C62,Spare_Det!$C$17:$H$107,6,FALSE))</f>
        <v>0</v>
      </c>
      <c r="P62" s="21"/>
      <c r="Q62" s="21"/>
      <c r="R62" s="21"/>
      <c r="S62" s="21"/>
      <c r="T62" s="21"/>
      <c r="U62" s="21"/>
      <c r="W62" s="214"/>
      <c r="X62" s="214"/>
      <c r="Y62" s="214"/>
    </row>
    <row r="63" spans="1:25" s="70" customFormat="1" x14ac:dyDescent="0.25">
      <c r="A63" s="294" t="s">
        <v>338</v>
      </c>
      <c r="C63" s="63" t="s">
        <v>356</v>
      </c>
      <c r="D63" s="63" t="s">
        <v>356</v>
      </c>
      <c r="E63" s="370"/>
      <c r="F63" s="64" t="s">
        <v>85</v>
      </c>
      <c r="G63" s="65" t="s">
        <v>3</v>
      </c>
      <c r="H63" s="66" t="s">
        <v>25</v>
      </c>
      <c r="I63" s="67">
        <v>0</v>
      </c>
      <c r="J63" s="370"/>
      <c r="K63" s="370"/>
      <c r="L63" s="305"/>
      <c r="M63" s="68"/>
      <c r="N63" s="21">
        <f>IF(ISNA(VLOOKUP($C63,KLO_Det!$C$17:$H$108,6,FALSE)),0,VLOOKUP($C63,KLO_Det!$C$17:$H$108,6,FALSE))</f>
        <v>0</v>
      </c>
      <c r="O63" s="21">
        <f>IF(ISNA(VLOOKUP($C63,Spare_Det!$C$17:$H$107,6,FALSE)),0,VLOOKUP($C63,Spare_Det!$C$17:$H$107,6,FALSE))</f>
        <v>0</v>
      </c>
      <c r="P63" s="21"/>
      <c r="Q63" s="21"/>
      <c r="R63" s="21"/>
      <c r="S63" s="21"/>
      <c r="T63" s="21"/>
      <c r="U63" s="21"/>
      <c r="W63" s="214"/>
      <c r="X63" s="214"/>
      <c r="Y63" s="214"/>
    </row>
    <row r="64" spans="1:25" s="70" customFormat="1" x14ac:dyDescent="0.25">
      <c r="A64" s="294" t="s">
        <v>338</v>
      </c>
      <c r="C64" s="63" t="s">
        <v>357</v>
      </c>
      <c r="D64" s="63" t="s">
        <v>358</v>
      </c>
      <c r="E64" s="370"/>
      <c r="F64" s="64" t="s">
        <v>85</v>
      </c>
      <c r="G64" s="65" t="s">
        <v>3</v>
      </c>
      <c r="H64" s="66" t="s">
        <v>25</v>
      </c>
      <c r="I64" s="67">
        <v>1126.5675100000001</v>
      </c>
      <c r="J64" s="370"/>
      <c r="K64" s="370"/>
      <c r="L64" s="305"/>
      <c r="M64" s="68"/>
      <c r="N64" s="21">
        <f>IF(ISNA(VLOOKUP($C64,KLO_Det!$C$17:$H$108,6,FALSE)),0,VLOOKUP($C64,KLO_Det!$C$17:$H$108,6,FALSE))</f>
        <v>0</v>
      </c>
      <c r="O64" s="21">
        <f>IF(ISNA(VLOOKUP($C64,Spare_Det!$C$17:$H$107,6,FALSE)),0,VLOOKUP($C64,Spare_Det!$C$17:$H$107,6,FALSE))</f>
        <v>0</v>
      </c>
      <c r="P64" s="21"/>
      <c r="Q64" s="21"/>
      <c r="R64" s="21"/>
      <c r="S64" s="21"/>
      <c r="T64" s="21"/>
      <c r="U64" s="21"/>
      <c r="W64" s="214"/>
      <c r="X64" s="214"/>
      <c r="Y64" s="214"/>
    </row>
    <row r="65" spans="1:25" s="70" customFormat="1" x14ac:dyDescent="0.25">
      <c r="A65" s="294" t="s">
        <v>338</v>
      </c>
      <c r="C65" s="63" t="s">
        <v>359</v>
      </c>
      <c r="D65" s="63" t="s">
        <v>359</v>
      </c>
      <c r="E65" s="370"/>
      <c r="F65" s="64" t="s">
        <v>85</v>
      </c>
      <c r="G65" s="65" t="s">
        <v>3</v>
      </c>
      <c r="H65" s="66" t="s">
        <v>25</v>
      </c>
      <c r="I65" s="67">
        <v>0.62196000000000007</v>
      </c>
      <c r="J65" s="370"/>
      <c r="K65" s="370"/>
      <c r="L65" s="305"/>
      <c r="M65" s="68"/>
      <c r="N65" s="21">
        <f>IF(ISNA(VLOOKUP($C65,KLO_Det!$C$17:$H$108,6,FALSE)),0,VLOOKUP($C65,KLO_Det!$C$17:$H$108,6,FALSE))</f>
        <v>0</v>
      </c>
      <c r="O65" s="21">
        <f>IF(ISNA(VLOOKUP($C65,Spare_Det!$C$17:$H$107,6,FALSE)),0,VLOOKUP($C65,Spare_Det!$C$17:$H$107,6,FALSE))</f>
        <v>0</v>
      </c>
      <c r="P65" s="21"/>
      <c r="Q65" s="21"/>
      <c r="R65" s="21"/>
      <c r="S65" s="21"/>
      <c r="T65" s="21"/>
      <c r="U65" s="21"/>
      <c r="W65" s="214"/>
      <c r="X65" s="214"/>
      <c r="Y65" s="214"/>
    </row>
    <row r="66" spans="1:25" s="70" customFormat="1" x14ac:dyDescent="0.25">
      <c r="A66" s="294" t="s">
        <v>338</v>
      </c>
      <c r="C66" s="63" t="s">
        <v>360</v>
      </c>
      <c r="D66" s="63" t="s">
        <v>360</v>
      </c>
      <c r="E66" s="370"/>
      <c r="F66" s="64" t="s">
        <v>85</v>
      </c>
      <c r="G66" s="65" t="s">
        <v>3</v>
      </c>
      <c r="H66" s="66" t="s">
        <v>25</v>
      </c>
      <c r="I66" s="67">
        <v>25.198000049999997</v>
      </c>
      <c r="J66" s="370"/>
      <c r="K66" s="370"/>
      <c r="L66" s="305"/>
      <c r="M66" s="68"/>
      <c r="N66" s="21">
        <f>IF(ISNA(VLOOKUP($C66,KLO_Det!$C$17:$H$108,6,FALSE)),0,VLOOKUP($C66,KLO_Det!$C$17:$H$108,6,FALSE))</f>
        <v>0</v>
      </c>
      <c r="O66" s="21">
        <f>IF(ISNA(VLOOKUP($C66,Spare_Det!$C$17:$H$107,6,FALSE)),0,VLOOKUP($C66,Spare_Det!$C$17:$H$107,6,FALSE))</f>
        <v>0</v>
      </c>
      <c r="P66" s="21"/>
      <c r="Q66" s="21"/>
      <c r="R66" s="21"/>
      <c r="S66" s="21"/>
      <c r="T66" s="21"/>
      <c r="U66" s="21"/>
      <c r="W66" s="214"/>
      <c r="X66" s="214"/>
      <c r="Y66" s="214"/>
    </row>
    <row r="67" spans="1:25" s="70" customFormat="1" x14ac:dyDescent="0.25">
      <c r="A67" s="294" t="s">
        <v>338</v>
      </c>
      <c r="C67" s="63" t="s">
        <v>361</v>
      </c>
      <c r="D67" s="63" t="s">
        <v>362</v>
      </c>
      <c r="E67" s="370"/>
      <c r="F67" s="64" t="s">
        <v>85</v>
      </c>
      <c r="G67" s="65" t="s">
        <v>3</v>
      </c>
      <c r="H67" s="66" t="s">
        <v>25</v>
      </c>
      <c r="I67" s="67">
        <v>117.0119598</v>
      </c>
      <c r="J67" s="370"/>
      <c r="K67" s="370"/>
      <c r="L67" s="305"/>
      <c r="M67" s="68"/>
      <c r="N67" s="21">
        <f>IF(ISNA(VLOOKUP($C67,KLO_Det!$C$17:$H$108,6,FALSE)),0,VLOOKUP($C67,KLO_Det!$C$17:$H$108,6,FALSE))</f>
        <v>0</v>
      </c>
      <c r="O67" s="21">
        <f>IF(ISNA(VLOOKUP($C67,Spare_Det!$C$17:$H$107,6,FALSE)),0,VLOOKUP($C67,Spare_Det!$C$17:$H$107,6,FALSE))</f>
        <v>0</v>
      </c>
      <c r="P67" s="21"/>
      <c r="Q67" s="21"/>
      <c r="R67" s="21"/>
      <c r="S67" s="21"/>
      <c r="T67" s="21"/>
      <c r="U67" s="21"/>
      <c r="W67" s="214"/>
      <c r="X67" s="214"/>
      <c r="Y67" s="214"/>
    </row>
    <row r="68" spans="1:25" s="70" customFormat="1" x14ac:dyDescent="0.25">
      <c r="A68" s="294" t="s">
        <v>338</v>
      </c>
      <c r="C68" s="63" t="s">
        <v>363</v>
      </c>
      <c r="D68" s="63" t="s">
        <v>364</v>
      </c>
      <c r="E68" s="370"/>
      <c r="F68" s="64" t="s">
        <v>85</v>
      </c>
      <c r="G68" s="65" t="s">
        <v>3</v>
      </c>
      <c r="H68" s="66" t="s">
        <v>25</v>
      </c>
      <c r="I68" s="67">
        <v>23.788</v>
      </c>
      <c r="J68" s="370"/>
      <c r="K68" s="370"/>
      <c r="L68" s="305"/>
      <c r="M68" s="68"/>
      <c r="N68" s="21">
        <f>IF(ISNA(VLOOKUP($C68,KLO_Det!$C$17:$H$108,6,FALSE)),0,VLOOKUP($C68,KLO_Det!$C$17:$H$108,6,FALSE))</f>
        <v>0</v>
      </c>
      <c r="O68" s="21">
        <f>IF(ISNA(VLOOKUP($C68,Spare_Det!$C$17:$H$107,6,FALSE)),0,VLOOKUP($C68,Spare_Det!$C$17:$H$107,6,FALSE))</f>
        <v>0</v>
      </c>
      <c r="P68" s="21"/>
      <c r="Q68" s="21"/>
      <c r="R68" s="21"/>
      <c r="S68" s="21"/>
      <c r="T68" s="21"/>
      <c r="U68" s="21"/>
      <c r="W68" s="214"/>
      <c r="X68" s="214"/>
      <c r="Y68" s="214"/>
    </row>
    <row r="69" spans="1:25" s="70" customFormat="1" x14ac:dyDescent="0.25">
      <c r="A69" s="294" t="s">
        <v>338</v>
      </c>
      <c r="C69" s="63" t="s">
        <v>313</v>
      </c>
      <c r="D69" s="63" t="s">
        <v>313</v>
      </c>
      <c r="E69" s="370"/>
      <c r="F69" s="64" t="s">
        <v>85</v>
      </c>
      <c r="G69" s="65" t="s">
        <v>3</v>
      </c>
      <c r="H69" s="66" t="s">
        <v>25</v>
      </c>
      <c r="I69" s="67">
        <v>41.255909799999998</v>
      </c>
      <c r="J69" s="370"/>
      <c r="K69" s="370"/>
      <c r="L69" s="228"/>
      <c r="M69" s="68"/>
      <c r="N69" s="21">
        <f>IF(ISNA(VLOOKUP($C69,KLO_Det!$C$17:$H$108,6,FALSE)),0,VLOOKUP($C69,KLO_Det!$C$17:$H$108,6,FALSE))</f>
        <v>0</v>
      </c>
      <c r="O69" s="21">
        <f>IF(ISNA(VLOOKUP($C69,Spare_Det!$C$17:$H$107,6,FALSE)),0,VLOOKUP($C69,Spare_Det!$C$17:$H$107,6,FALSE))</f>
        <v>0</v>
      </c>
      <c r="P69" s="21"/>
      <c r="Q69" s="21"/>
      <c r="R69" s="21"/>
      <c r="S69" s="21"/>
      <c r="T69" s="21"/>
      <c r="U69" s="21"/>
      <c r="W69" s="214"/>
      <c r="X69" s="214"/>
      <c r="Y69" s="214"/>
    </row>
    <row r="70" spans="1:25" s="70" customFormat="1" x14ac:dyDescent="0.25">
      <c r="A70" s="294" t="s">
        <v>338</v>
      </c>
      <c r="C70" s="63" t="s">
        <v>303</v>
      </c>
      <c r="D70" s="63" t="s">
        <v>303</v>
      </c>
      <c r="E70" s="370"/>
      <c r="F70" s="64" t="s">
        <v>85</v>
      </c>
      <c r="G70" s="65" t="s">
        <v>3</v>
      </c>
      <c r="H70" s="66" t="s">
        <v>25</v>
      </c>
      <c r="I70" s="67">
        <v>106.81319599999999</v>
      </c>
      <c r="J70" s="370"/>
      <c r="K70" s="370"/>
      <c r="L70" s="238"/>
      <c r="M70" s="68"/>
      <c r="N70" s="21">
        <f>IF(ISNA(VLOOKUP($C70,KLO_Det!$C$17:$H$108,6,FALSE)),0,VLOOKUP($C70,KLO_Det!$C$17:$H$108,6,FALSE))</f>
        <v>0</v>
      </c>
      <c r="O70" s="21">
        <f>IF(ISNA(VLOOKUP($C70,Spare_Det!$C$17:$H$107,6,FALSE)),0,VLOOKUP($C70,Spare_Det!$C$17:$H$107,6,FALSE))</f>
        <v>0</v>
      </c>
      <c r="P70" s="21"/>
      <c r="Q70" s="21"/>
      <c r="R70" s="21"/>
      <c r="S70" s="21"/>
      <c r="T70" s="21"/>
      <c r="U70" s="21"/>
      <c r="W70" s="214"/>
      <c r="X70" s="214"/>
      <c r="Y70" s="214"/>
    </row>
    <row r="71" spans="1:25" s="70" customFormat="1" x14ac:dyDescent="0.25">
      <c r="A71" s="294" t="s">
        <v>338</v>
      </c>
      <c r="C71" s="63" t="s">
        <v>318</v>
      </c>
      <c r="D71" s="63" t="s">
        <v>319</v>
      </c>
      <c r="E71" s="370"/>
      <c r="F71" s="64" t="s">
        <v>85</v>
      </c>
      <c r="G71" s="65" t="s">
        <v>3</v>
      </c>
      <c r="H71" s="66" t="s">
        <v>25</v>
      </c>
      <c r="I71" s="67">
        <v>58.265687</v>
      </c>
      <c r="J71" s="370"/>
      <c r="K71" s="370"/>
      <c r="L71" s="228"/>
      <c r="M71" s="68"/>
      <c r="N71" s="21">
        <f>IF(ISNA(VLOOKUP($C71,KLO_Det!$C$17:$H$108,6,FALSE)),0,VLOOKUP($C71,KLO_Det!$C$17:$H$108,6,FALSE))</f>
        <v>0</v>
      </c>
      <c r="O71" s="21">
        <f>IF(ISNA(VLOOKUP($C71,Spare_Det!$C$17:$H$107,6,FALSE)),0,VLOOKUP($C71,Spare_Det!$C$17:$H$107,6,FALSE))</f>
        <v>0</v>
      </c>
      <c r="P71" s="21"/>
      <c r="Q71" s="21"/>
      <c r="R71" s="21"/>
      <c r="S71" s="21"/>
      <c r="T71" s="21"/>
      <c r="U71" s="21"/>
      <c r="W71" s="214"/>
      <c r="X71" s="214"/>
      <c r="Y71" s="214"/>
    </row>
    <row r="72" spans="1:25" s="70" customFormat="1" x14ac:dyDescent="0.25">
      <c r="A72" s="294" t="s">
        <v>339</v>
      </c>
      <c r="B72" s="308" t="s">
        <v>452</v>
      </c>
      <c r="C72" s="63" t="s">
        <v>435</v>
      </c>
      <c r="D72" s="63" t="s">
        <v>435</v>
      </c>
      <c r="E72" s="370"/>
      <c r="F72" s="64" t="s">
        <v>85</v>
      </c>
      <c r="G72" s="65" t="s">
        <v>2</v>
      </c>
      <c r="H72" s="66" t="s">
        <v>25</v>
      </c>
      <c r="I72" s="67">
        <v>63.471406996986254</v>
      </c>
      <c r="J72" s="370"/>
      <c r="K72" s="370"/>
      <c r="L72" s="222"/>
      <c r="M72" s="68"/>
      <c r="N72" s="21">
        <f>IF(ISNA(VLOOKUP($C72,KLO_Det!$C$17:$H$108,6,FALSE)),0,VLOOKUP($C72,KLO_Det!$C$17:$H$108,6,FALSE))</f>
        <v>2</v>
      </c>
      <c r="O72" s="21">
        <f>IF(ISNA(VLOOKUP($C72,Spare_Det!$C$17:$H$107,6,FALSE)),0,VLOOKUP($C72,Spare_Det!$C$17:$H$107,6,FALSE))</f>
        <v>0</v>
      </c>
      <c r="P72" s="21"/>
      <c r="Q72" s="21"/>
      <c r="R72" s="21"/>
      <c r="S72" s="21"/>
      <c r="T72" s="21"/>
      <c r="U72" s="21"/>
      <c r="W72" s="214"/>
      <c r="X72" s="214"/>
      <c r="Y72" s="214"/>
    </row>
    <row r="73" spans="1:25" s="70" customFormat="1" x14ac:dyDescent="0.25">
      <c r="A73" s="294" t="s">
        <v>339</v>
      </c>
      <c r="B73" s="308" t="s">
        <v>452</v>
      </c>
      <c r="C73" s="63" t="s">
        <v>436</v>
      </c>
      <c r="D73" s="63" t="s">
        <v>436</v>
      </c>
      <c r="E73" s="370"/>
      <c r="F73" s="64" t="s">
        <v>85</v>
      </c>
      <c r="G73" s="65" t="s">
        <v>2</v>
      </c>
      <c r="H73" s="66" t="s">
        <v>25</v>
      </c>
      <c r="I73" s="67">
        <v>47.41057649703847</v>
      </c>
      <c r="J73" s="370"/>
      <c r="K73" s="370"/>
      <c r="L73" s="222"/>
      <c r="M73" s="68"/>
      <c r="N73" s="21">
        <f>IF(ISNA(VLOOKUP($C73,KLO_Det!$C$17:$H$108,6,FALSE)),0,VLOOKUP($C73,KLO_Det!$C$17:$H$108,6,FALSE))</f>
        <v>2</v>
      </c>
      <c r="O73" s="21">
        <f>IF(ISNA(VLOOKUP($C73,Spare_Det!$C$17:$H$107,6,FALSE)),0,VLOOKUP($C73,Spare_Det!$C$17:$H$107,6,FALSE))</f>
        <v>0</v>
      </c>
      <c r="P73" s="21"/>
      <c r="Q73" s="21"/>
      <c r="R73" s="21"/>
      <c r="S73" s="21"/>
      <c r="T73" s="21"/>
      <c r="U73" s="21"/>
      <c r="W73" s="214"/>
      <c r="X73" s="214"/>
      <c r="Y73" s="214"/>
    </row>
    <row r="74" spans="1:25" s="70" customFormat="1" x14ac:dyDescent="0.25">
      <c r="A74" s="294" t="s">
        <v>339</v>
      </c>
      <c r="C74" s="63" t="s">
        <v>309</v>
      </c>
      <c r="D74" s="63" t="s">
        <v>309</v>
      </c>
      <c r="E74" s="370"/>
      <c r="F74" s="64" t="s">
        <v>85</v>
      </c>
      <c r="G74" s="65" t="s">
        <v>2</v>
      </c>
      <c r="H74" s="66" t="s">
        <v>25</v>
      </c>
      <c r="I74" s="67">
        <v>76.729563200000001</v>
      </c>
      <c r="J74" s="370"/>
      <c r="K74" s="370"/>
      <c r="L74" s="222"/>
      <c r="M74" s="68"/>
      <c r="N74" s="21">
        <f>IF(ISNA(VLOOKUP($C74,KLO_Det!$C$17:$H$108,6,FALSE)),0,VLOOKUP($C74,KLO_Det!$C$17:$H$108,6,FALSE))</f>
        <v>0</v>
      </c>
      <c r="O74" s="21">
        <f>IF(ISNA(VLOOKUP($C74,Spare_Det!$C$17:$H$107,6,FALSE)),0,VLOOKUP($C74,Spare_Det!$C$17:$H$107,6,FALSE))</f>
        <v>0</v>
      </c>
      <c r="P74" s="21"/>
      <c r="Q74" s="21"/>
      <c r="R74" s="21"/>
      <c r="S74" s="21"/>
      <c r="T74" s="21"/>
      <c r="U74" s="21"/>
      <c r="W74" s="214"/>
      <c r="X74" s="214"/>
      <c r="Y74" s="214"/>
    </row>
    <row r="75" spans="1:25" s="70" customFormat="1" x14ac:dyDescent="0.25">
      <c r="A75" s="294" t="s">
        <v>339</v>
      </c>
      <c r="C75" s="63" t="s">
        <v>310</v>
      </c>
      <c r="D75" s="63" t="s">
        <v>320</v>
      </c>
      <c r="E75" s="370"/>
      <c r="F75" s="64" t="s">
        <v>85</v>
      </c>
      <c r="G75" s="65" t="s">
        <v>2</v>
      </c>
      <c r="H75" s="66" t="s">
        <v>25</v>
      </c>
      <c r="I75" s="67">
        <v>223.65781870000001</v>
      </c>
      <c r="J75" s="370"/>
      <c r="K75" s="370"/>
      <c r="L75" s="222"/>
      <c r="M75" s="68"/>
      <c r="N75" s="21">
        <f>IF(ISNA(VLOOKUP($C75,KLO_Det!$C$17:$H$108,6,FALSE)),0,VLOOKUP($C75,KLO_Det!$C$17:$H$108,6,FALSE))</f>
        <v>0</v>
      </c>
      <c r="O75" s="21">
        <f>IF(ISNA(VLOOKUP($C75,Spare_Det!$C$17:$H$107,6,FALSE)),0,VLOOKUP($C75,Spare_Det!$C$17:$H$107,6,FALSE))</f>
        <v>0</v>
      </c>
      <c r="P75" s="21"/>
      <c r="Q75" s="21"/>
      <c r="R75" s="21"/>
      <c r="S75" s="21"/>
      <c r="T75" s="21"/>
      <c r="U75" s="21"/>
      <c r="W75" s="214"/>
      <c r="X75" s="214"/>
      <c r="Y75" s="214"/>
    </row>
    <row r="76" spans="1:25" s="70" customFormat="1" x14ac:dyDescent="0.25">
      <c r="A76" s="294" t="s">
        <v>339</v>
      </c>
      <c r="C76" s="63" t="s">
        <v>311</v>
      </c>
      <c r="D76" s="63" t="s">
        <v>312</v>
      </c>
      <c r="E76" s="370"/>
      <c r="F76" s="64" t="s">
        <v>85</v>
      </c>
      <c r="G76" s="65" t="s">
        <v>2</v>
      </c>
      <c r="H76" s="66" t="s">
        <v>25</v>
      </c>
      <c r="I76" s="67">
        <v>252.11545104999999</v>
      </c>
      <c r="J76" s="370"/>
      <c r="K76" s="370"/>
      <c r="L76" s="222"/>
      <c r="M76" s="68"/>
      <c r="N76" s="21">
        <f>IF(ISNA(VLOOKUP($C76,KLO_Det!$C$17:$H$108,6,FALSE)),0,VLOOKUP($C76,KLO_Det!$C$17:$H$108,6,FALSE))</f>
        <v>0</v>
      </c>
      <c r="O76" s="21">
        <f>IF(ISNA(VLOOKUP($C76,Spare_Det!$C$17:$H$107,6,FALSE)),0,VLOOKUP($C76,Spare_Det!$C$17:$H$107,6,FALSE))</f>
        <v>0</v>
      </c>
      <c r="P76" s="21"/>
      <c r="Q76" s="21"/>
      <c r="R76" s="21"/>
      <c r="S76" s="21"/>
      <c r="T76" s="21"/>
      <c r="U76" s="21"/>
      <c r="W76" s="214"/>
      <c r="X76" s="214"/>
      <c r="Y76" s="214"/>
    </row>
    <row r="77" spans="1:25" s="70" customFormat="1" x14ac:dyDescent="0.25">
      <c r="A77" s="294" t="s">
        <v>339</v>
      </c>
      <c r="B77" s="308" t="s">
        <v>452</v>
      </c>
      <c r="C77" s="63" t="s">
        <v>372</v>
      </c>
      <c r="D77" s="63" t="s">
        <v>372</v>
      </c>
      <c r="E77" s="370"/>
      <c r="F77" s="64" t="s">
        <v>85</v>
      </c>
      <c r="G77" s="65" t="s">
        <v>2</v>
      </c>
      <c r="H77" s="66" t="s">
        <v>25</v>
      </c>
      <c r="I77" s="67">
        <v>58.417057313358185</v>
      </c>
      <c r="J77" s="370"/>
      <c r="K77" s="370"/>
      <c r="L77" s="222"/>
      <c r="M77" s="68"/>
      <c r="N77" s="21">
        <f>IF(ISNA(VLOOKUP($C77,KLO_Det!$C$17:$H$108,6,FALSE)),0,VLOOKUP($C77,KLO_Det!$C$17:$H$108,6,FALSE))</f>
        <v>0</v>
      </c>
      <c r="O77" s="21">
        <f>IF(ISNA(VLOOKUP($C77,Spare_Det!$C$17:$H$107,6,FALSE)),0,VLOOKUP($C77,Spare_Det!$C$17:$H$107,6,FALSE))</f>
        <v>0</v>
      </c>
      <c r="P77" s="21"/>
      <c r="Q77" s="21"/>
      <c r="R77" s="21"/>
      <c r="S77" s="21"/>
      <c r="T77" s="21"/>
      <c r="U77" s="21"/>
      <c r="W77" s="214"/>
      <c r="X77" s="214"/>
      <c r="Y77" s="214"/>
    </row>
    <row r="78" spans="1:25" s="70" customFormat="1" x14ac:dyDescent="0.25">
      <c r="A78" s="264" t="s">
        <v>340</v>
      </c>
      <c r="C78" s="63" t="s">
        <v>344</v>
      </c>
      <c r="D78" s="63" t="s">
        <v>349</v>
      </c>
      <c r="E78" s="370"/>
      <c r="F78" s="64" t="s">
        <v>85</v>
      </c>
      <c r="G78" s="65" t="s">
        <v>3</v>
      </c>
      <c r="H78" s="66" t="s">
        <v>25</v>
      </c>
      <c r="I78" s="67">
        <v>5.4307692307692301</v>
      </c>
      <c r="J78" s="370"/>
      <c r="K78" s="370"/>
      <c r="L78" s="222"/>
      <c r="M78" s="68"/>
      <c r="N78" s="21">
        <f>IF(ISNA(VLOOKUP($C78,KLO_Det!$C$17:$H$108,6,FALSE)),0,VLOOKUP($C78,KLO_Det!$C$17:$H$108,6,FALSE))</f>
        <v>0</v>
      </c>
      <c r="O78" s="21">
        <f>IF(ISNA(VLOOKUP($C78,Spare_Det!$C$17:$H$107,6,FALSE)),0,VLOOKUP($C78,Spare_Det!$C$17:$H$107,6,FALSE))</f>
        <v>0</v>
      </c>
      <c r="P78" s="21"/>
      <c r="Q78" s="21"/>
      <c r="R78" s="21"/>
      <c r="S78" s="21"/>
      <c r="T78" s="21"/>
      <c r="U78" s="21"/>
      <c r="W78" s="214"/>
      <c r="X78" s="214"/>
      <c r="Y78" s="214"/>
    </row>
    <row r="79" spans="1:25" s="70" customFormat="1" x14ac:dyDescent="0.25">
      <c r="A79" s="264" t="s">
        <v>340</v>
      </c>
      <c r="C79" s="63" t="s">
        <v>331</v>
      </c>
      <c r="D79" s="63" t="s">
        <v>328</v>
      </c>
      <c r="E79" s="370"/>
      <c r="F79" s="64" t="s">
        <v>85</v>
      </c>
      <c r="G79" s="65" t="s">
        <v>3</v>
      </c>
      <c r="H79" s="66" t="s">
        <v>25</v>
      </c>
      <c r="I79" s="67">
        <v>0.40306153846153847</v>
      </c>
      <c r="J79" s="370"/>
      <c r="K79" s="370"/>
      <c r="L79" s="222"/>
      <c r="M79" s="68"/>
      <c r="N79" s="21">
        <f>IF(ISNA(VLOOKUP($C79,KLO_Det!$C$17:$H$108,6,FALSE)),0,VLOOKUP($C79,KLO_Det!$C$17:$H$108,6,FALSE))</f>
        <v>0</v>
      </c>
      <c r="O79" s="21">
        <f>IF(ISNA(VLOOKUP($C79,Spare_Det!$C$17:$H$107,6,FALSE)),0,VLOOKUP($C79,Spare_Det!$C$17:$H$107,6,FALSE))</f>
        <v>0</v>
      </c>
      <c r="P79" s="21"/>
      <c r="Q79" s="21"/>
      <c r="R79" s="21"/>
      <c r="S79" s="21"/>
      <c r="T79" s="21"/>
      <c r="U79" s="21"/>
      <c r="W79" s="214"/>
      <c r="X79" s="214"/>
      <c r="Y79" s="214"/>
    </row>
    <row r="80" spans="1:25" s="70" customFormat="1" x14ac:dyDescent="0.25">
      <c r="A80" s="264" t="s">
        <v>340</v>
      </c>
      <c r="C80" s="63" t="s">
        <v>335</v>
      </c>
      <c r="D80" s="63" t="s">
        <v>336</v>
      </c>
      <c r="E80" s="370"/>
      <c r="F80" s="64" t="s">
        <v>85</v>
      </c>
      <c r="G80" s="65" t="s">
        <v>86</v>
      </c>
      <c r="H80" s="66" t="s">
        <v>25</v>
      </c>
      <c r="I80" s="67">
        <v>0.66461538461538461</v>
      </c>
      <c r="J80" s="370"/>
      <c r="K80" s="370"/>
      <c r="L80" s="222"/>
      <c r="M80" s="68"/>
      <c r="N80" s="21">
        <f>IF(ISNA(VLOOKUP($C80,KLO_Det!$C$17:$H$108,6,FALSE)),0,VLOOKUP($C80,KLO_Det!$C$17:$H$108,6,FALSE))</f>
        <v>0</v>
      </c>
      <c r="O80" s="21">
        <f>IF(ISNA(VLOOKUP($C80,Spare_Det!$C$17:$H$107,6,FALSE)),0,VLOOKUP($C80,Spare_Det!$C$17:$H$107,6,FALSE))</f>
        <v>0</v>
      </c>
      <c r="P80" s="21"/>
      <c r="Q80" s="21"/>
      <c r="R80" s="21"/>
      <c r="S80" s="21"/>
      <c r="T80" s="21"/>
      <c r="U80" s="21"/>
      <c r="W80" s="214"/>
      <c r="X80" s="214"/>
      <c r="Y80" s="214"/>
    </row>
    <row r="81" spans="1:25" s="70" customFormat="1" x14ac:dyDescent="0.25">
      <c r="A81" s="264"/>
      <c r="B81" s="308" t="s">
        <v>452</v>
      </c>
      <c r="C81" s="63" t="s">
        <v>406</v>
      </c>
      <c r="D81" s="63" t="s">
        <v>336</v>
      </c>
      <c r="E81" s="370"/>
      <c r="F81" s="64" t="s">
        <v>85</v>
      </c>
      <c r="G81" s="65" t="s">
        <v>86</v>
      </c>
      <c r="H81" s="66" t="s">
        <v>26</v>
      </c>
      <c r="I81" s="67">
        <v>0.66461538461538461</v>
      </c>
      <c r="J81" s="370"/>
      <c r="K81" s="370"/>
      <c r="L81" s="222"/>
      <c r="M81" s="68"/>
      <c r="N81" s="21">
        <f>IF(ISNA(VLOOKUP($C81,KLO_Det!$C$17:$H$108,6,FALSE)),0,VLOOKUP($C81,KLO_Det!$C$17:$H$108,6,FALSE))</f>
        <v>31</v>
      </c>
      <c r="O81" s="21">
        <f>IF(ISNA(VLOOKUP($C81,Spare_Det!$C$17:$H$107,6,FALSE)),0,VLOOKUP($C81,Spare_Det!$C$17:$H$107,6,FALSE))</f>
        <v>0</v>
      </c>
      <c r="P81" s="21"/>
      <c r="Q81" s="21"/>
      <c r="R81" s="21"/>
      <c r="S81" s="21"/>
      <c r="T81" s="21"/>
      <c r="U81" s="21"/>
      <c r="W81" s="214"/>
      <c r="X81" s="214"/>
      <c r="Y81" s="214"/>
    </row>
    <row r="82" spans="1:25" s="70" customFormat="1" x14ac:dyDescent="0.25">
      <c r="A82" s="264" t="s">
        <v>340</v>
      </c>
      <c r="C82" s="63" t="s">
        <v>334</v>
      </c>
      <c r="D82" s="63" t="s">
        <v>337</v>
      </c>
      <c r="E82" s="370"/>
      <c r="F82" s="64" t="s">
        <v>85</v>
      </c>
      <c r="G82" s="65" t="s">
        <v>86</v>
      </c>
      <c r="H82" s="66" t="s">
        <v>25</v>
      </c>
      <c r="I82" s="67">
        <v>0.43615384615384611</v>
      </c>
      <c r="J82" s="370"/>
      <c r="K82" s="370"/>
      <c r="L82" s="222"/>
      <c r="M82" s="68"/>
      <c r="N82" s="21">
        <f>IF(ISNA(VLOOKUP($C82,KLO_Det!$C$17:$H$108,6,FALSE)),0,VLOOKUP($C82,KLO_Det!$C$17:$H$108,6,FALSE))</f>
        <v>0</v>
      </c>
      <c r="O82" s="21">
        <f>IF(ISNA(VLOOKUP($C82,Spare_Det!$C$17:$H$107,6,FALSE)),0,VLOOKUP($C82,Spare_Det!$C$17:$H$107,6,FALSE))</f>
        <v>0</v>
      </c>
      <c r="P82" s="21"/>
      <c r="Q82" s="21"/>
      <c r="R82" s="21"/>
      <c r="S82" s="21"/>
      <c r="T82" s="21"/>
      <c r="U82" s="21"/>
      <c r="W82" s="214"/>
      <c r="X82" s="214"/>
      <c r="Y82" s="214"/>
    </row>
    <row r="83" spans="1:25" s="70" customFormat="1" x14ac:dyDescent="0.25">
      <c r="A83" s="264" t="s">
        <v>340</v>
      </c>
      <c r="C83" s="63" t="s">
        <v>323</v>
      </c>
      <c r="D83" s="63" t="s">
        <v>323</v>
      </c>
      <c r="E83" s="370"/>
      <c r="F83" s="64" t="s">
        <v>85</v>
      </c>
      <c r="G83" s="65" t="s">
        <v>3</v>
      </c>
      <c r="H83" s="66" t="s">
        <v>25</v>
      </c>
      <c r="I83" s="67">
        <v>0.24562</v>
      </c>
      <c r="J83" s="370"/>
      <c r="K83" s="370"/>
      <c r="L83" s="222"/>
      <c r="M83" s="68"/>
      <c r="N83" s="21">
        <f>IF(ISNA(VLOOKUP($C83,KLO_Det!$C$17:$H$108,6,FALSE)),0,VLOOKUP($C83,KLO_Det!$C$17:$H$108,6,FALSE))</f>
        <v>0</v>
      </c>
      <c r="O83" s="21">
        <f>IF(ISNA(VLOOKUP($C83,Spare_Det!$C$17:$H$107,6,FALSE)),0,VLOOKUP($C83,Spare_Det!$C$17:$H$107,6,FALSE))</f>
        <v>0</v>
      </c>
      <c r="P83" s="21"/>
      <c r="Q83" s="21"/>
      <c r="R83" s="21"/>
      <c r="S83" s="21"/>
      <c r="T83" s="21"/>
      <c r="U83" s="21"/>
      <c r="W83" s="214"/>
      <c r="X83" s="214"/>
      <c r="Y83" s="214"/>
    </row>
    <row r="84" spans="1:25" s="70" customFormat="1" x14ac:dyDescent="0.25">
      <c r="A84" s="264" t="s">
        <v>340</v>
      </c>
      <c r="C84" s="63" t="s">
        <v>325</v>
      </c>
      <c r="D84" s="63" t="s">
        <v>329</v>
      </c>
      <c r="E84" s="370"/>
      <c r="F84" s="64" t="s">
        <v>85</v>
      </c>
      <c r="G84" s="65" t="s">
        <v>3</v>
      </c>
      <c r="H84" s="66" t="s">
        <v>25</v>
      </c>
      <c r="I84" s="67">
        <v>15.18</v>
      </c>
      <c r="J84" s="370"/>
      <c r="K84" s="370"/>
      <c r="L84" s="222"/>
      <c r="M84" s="68"/>
      <c r="N84" s="21">
        <f>IF(ISNA(VLOOKUP($C84,KLO_Det!$C$17:$H$108,6,FALSE)),0,VLOOKUP($C84,KLO_Det!$C$17:$H$108,6,FALSE))</f>
        <v>0</v>
      </c>
      <c r="O84" s="21">
        <f>IF(ISNA(VLOOKUP($C84,Spare_Det!$C$17:$H$107,6,FALSE)),0,VLOOKUP($C84,Spare_Det!$C$17:$H$107,6,FALSE))</f>
        <v>0</v>
      </c>
      <c r="P84" s="21"/>
      <c r="Q84" s="21"/>
      <c r="R84" s="21"/>
      <c r="S84" s="21"/>
      <c r="T84" s="21"/>
      <c r="U84" s="21"/>
      <c r="W84" s="214"/>
      <c r="X84" s="214"/>
      <c r="Y84" s="214"/>
    </row>
    <row r="85" spans="1:25" s="70" customFormat="1" x14ac:dyDescent="0.25">
      <c r="A85" s="264" t="s">
        <v>340</v>
      </c>
      <c r="C85" s="63" t="s">
        <v>326</v>
      </c>
      <c r="D85" s="63" t="s">
        <v>330</v>
      </c>
      <c r="E85" s="370"/>
      <c r="F85" s="64" t="s">
        <v>85</v>
      </c>
      <c r="G85" s="65" t="s">
        <v>86</v>
      </c>
      <c r="H85" s="66" t="s">
        <v>25</v>
      </c>
      <c r="I85" s="67">
        <v>6.7847700000000009</v>
      </c>
      <c r="J85" s="370"/>
      <c r="K85" s="370"/>
      <c r="L85" s="222"/>
      <c r="M85" s="68"/>
      <c r="N85" s="21">
        <f>IF(ISNA(VLOOKUP($C85,KLO_Det!$C$17:$H$108,6,FALSE)),0,VLOOKUP($C85,KLO_Det!$C$17:$H$108,6,FALSE))</f>
        <v>0</v>
      </c>
      <c r="O85" s="21">
        <f>IF(ISNA(VLOOKUP($C85,Spare_Det!$C$17:$H$107,6,FALSE)),0,VLOOKUP($C85,Spare_Det!$C$17:$H$107,6,FALSE))</f>
        <v>0</v>
      </c>
      <c r="P85" s="21"/>
      <c r="Q85" s="21"/>
      <c r="R85" s="21"/>
      <c r="S85" s="21"/>
      <c r="T85" s="21"/>
      <c r="U85" s="21"/>
      <c r="W85" s="214"/>
      <c r="X85" s="214"/>
      <c r="Y85" s="214"/>
    </row>
    <row r="86" spans="1:25" s="70" customFormat="1" x14ac:dyDescent="0.25">
      <c r="A86" s="264" t="s">
        <v>340</v>
      </c>
      <c r="C86" s="63" t="s">
        <v>324</v>
      </c>
      <c r="D86" s="63" t="s">
        <v>324</v>
      </c>
      <c r="E86" s="370"/>
      <c r="F86" s="64" t="s">
        <v>85</v>
      </c>
      <c r="G86" s="65" t="s">
        <v>3</v>
      </c>
      <c r="H86" s="66" t="s">
        <v>25</v>
      </c>
      <c r="I86" s="67">
        <v>0</v>
      </c>
      <c r="J86" s="370"/>
      <c r="K86" s="370"/>
      <c r="L86" s="222"/>
      <c r="M86" s="68"/>
      <c r="N86" s="21">
        <f>IF(ISNA(VLOOKUP($C86,KLO_Det!$C$17:$H$108,6,FALSE)),0,VLOOKUP($C86,KLO_Det!$C$17:$H$108,6,FALSE))</f>
        <v>0</v>
      </c>
      <c r="O86" s="21">
        <f>IF(ISNA(VLOOKUP($C86,Spare_Det!$C$17:$H$107,6,FALSE)),0,VLOOKUP($C86,Spare_Det!$C$17:$H$107,6,FALSE))</f>
        <v>0</v>
      </c>
      <c r="P86" s="21"/>
      <c r="Q86" s="21"/>
      <c r="R86" s="21"/>
      <c r="S86" s="21"/>
      <c r="T86" s="21"/>
      <c r="U86" s="21"/>
      <c r="W86" s="214"/>
      <c r="X86" s="214"/>
      <c r="Y86" s="214"/>
    </row>
    <row r="87" spans="1:25" s="70" customFormat="1" x14ac:dyDescent="0.25">
      <c r="A87" s="264" t="s">
        <v>340</v>
      </c>
      <c r="C87" s="63" t="s">
        <v>347</v>
      </c>
      <c r="D87" s="63" t="s">
        <v>321</v>
      </c>
      <c r="E87" s="370"/>
      <c r="F87" s="64" t="s">
        <v>85</v>
      </c>
      <c r="G87" s="65" t="s">
        <v>3</v>
      </c>
      <c r="H87" s="66" t="s">
        <v>25</v>
      </c>
      <c r="I87" s="67">
        <v>8.7200000000000006</v>
      </c>
      <c r="J87" s="370"/>
      <c r="K87" s="370"/>
      <c r="L87" s="222"/>
      <c r="M87" s="68"/>
      <c r="N87" s="21">
        <f>IF(ISNA(VLOOKUP($C87,KLO_Det!$C$17:$H$108,6,FALSE)),0,VLOOKUP($C87,KLO_Det!$C$17:$H$108,6,FALSE))</f>
        <v>0</v>
      </c>
      <c r="O87" s="21">
        <f>IF(ISNA(VLOOKUP($C87,Spare_Det!$C$17:$H$107,6,FALSE)),0,VLOOKUP($C87,Spare_Det!$C$17:$H$107,6,FALSE))</f>
        <v>0</v>
      </c>
      <c r="P87" s="21"/>
      <c r="Q87" s="21"/>
      <c r="R87" s="21"/>
      <c r="S87" s="21"/>
      <c r="T87" s="21"/>
      <c r="U87" s="21"/>
      <c r="W87" s="214"/>
      <c r="X87" s="214"/>
      <c r="Y87" s="214"/>
    </row>
    <row r="88" spans="1:25" s="70" customFormat="1" x14ac:dyDescent="0.25">
      <c r="A88" s="264" t="s">
        <v>340</v>
      </c>
      <c r="C88" s="63" t="s">
        <v>327</v>
      </c>
      <c r="D88" s="63" t="s">
        <v>327</v>
      </c>
      <c r="E88" s="370"/>
      <c r="F88" s="64" t="s">
        <v>85</v>
      </c>
      <c r="G88" s="65" t="s">
        <v>3</v>
      </c>
      <c r="H88" s="66" t="s">
        <v>25</v>
      </c>
      <c r="I88" s="67">
        <v>6.7949999999999999</v>
      </c>
      <c r="J88" s="370"/>
      <c r="K88" s="370"/>
      <c r="L88" s="222"/>
      <c r="M88" s="68"/>
      <c r="N88" s="21">
        <f>IF(ISNA(VLOOKUP($C88,KLO_Det!$C$17:$H$108,6,FALSE)),0,VLOOKUP($C88,KLO_Det!$C$17:$H$108,6,FALSE))</f>
        <v>0</v>
      </c>
      <c r="O88" s="21">
        <f>IF(ISNA(VLOOKUP($C88,Spare_Det!$C$17:$H$107,6,FALSE)),0,VLOOKUP($C88,Spare_Det!$C$17:$H$107,6,FALSE))</f>
        <v>0</v>
      </c>
      <c r="P88" s="21"/>
      <c r="Q88" s="21"/>
      <c r="R88" s="21"/>
      <c r="S88" s="21"/>
      <c r="T88" s="21"/>
      <c r="U88" s="21"/>
      <c r="W88" s="214"/>
      <c r="X88" s="214"/>
      <c r="Y88" s="214"/>
    </row>
    <row r="89" spans="1:25" s="70" customFormat="1" x14ac:dyDescent="0.25">
      <c r="A89" s="264" t="s">
        <v>340</v>
      </c>
      <c r="C89" s="63" t="s">
        <v>348</v>
      </c>
      <c r="D89" s="63" t="s">
        <v>404</v>
      </c>
      <c r="E89" s="370"/>
      <c r="F89" s="64" t="s">
        <v>85</v>
      </c>
      <c r="G89" s="65" t="s">
        <v>3</v>
      </c>
      <c r="H89" s="66" t="s">
        <v>25</v>
      </c>
      <c r="I89" s="67">
        <v>0</v>
      </c>
      <c r="J89" s="370"/>
      <c r="K89" s="370"/>
      <c r="L89" s="222"/>
      <c r="M89" s="68"/>
      <c r="N89" s="21">
        <f>IF(ISNA(VLOOKUP($C89,KLO_Det!$C$17:$H$108,6,FALSE)),0,VLOOKUP($C89,KLO_Det!$C$17:$H$108,6,FALSE))</f>
        <v>1.0050000000000001</v>
      </c>
      <c r="O89" s="21">
        <f>IF(ISNA(VLOOKUP($C89,Spare_Det!$C$17:$H$107,6,FALSE)),0,VLOOKUP($C89,Spare_Det!$C$17:$H$107,6,FALSE))</f>
        <v>0</v>
      </c>
      <c r="P89" s="21"/>
      <c r="Q89" s="21"/>
      <c r="R89" s="21"/>
      <c r="S89" s="21"/>
      <c r="T89" s="21"/>
      <c r="U89" s="21"/>
      <c r="W89" s="214"/>
      <c r="X89" s="214"/>
      <c r="Y89" s="214"/>
    </row>
    <row r="90" spans="1:25" s="70" customFormat="1" x14ac:dyDescent="0.25">
      <c r="A90" s="264" t="s">
        <v>340</v>
      </c>
      <c r="C90" s="63" t="s">
        <v>350</v>
      </c>
      <c r="D90" s="63"/>
      <c r="E90" s="370"/>
      <c r="F90" s="64" t="s">
        <v>85</v>
      </c>
      <c r="G90" s="65" t="s">
        <v>3</v>
      </c>
      <c r="H90" s="66" t="s">
        <v>25</v>
      </c>
      <c r="I90" s="67">
        <v>0</v>
      </c>
      <c r="J90" s="370"/>
      <c r="K90" s="370"/>
      <c r="L90" s="222"/>
      <c r="M90" s="68"/>
      <c r="N90" s="21">
        <f>IF(ISNA(VLOOKUP($C90,KLO_Det!$C$17:$H$108,6,FALSE)),0,VLOOKUP($C90,KLO_Det!$C$17:$H$108,6,FALSE))</f>
        <v>0</v>
      </c>
      <c r="O90" s="21">
        <f>IF(ISNA(VLOOKUP($C90,Spare_Det!$C$17:$H$107,6,FALSE)),0,VLOOKUP($C90,Spare_Det!$C$17:$H$107,6,FALSE))</f>
        <v>0</v>
      </c>
      <c r="P90" s="21"/>
      <c r="Q90" s="21"/>
      <c r="R90" s="21"/>
      <c r="S90" s="21"/>
      <c r="T90" s="21"/>
      <c r="U90" s="21"/>
      <c r="W90" s="214"/>
      <c r="X90" s="214"/>
      <c r="Y90" s="214"/>
    </row>
    <row r="91" spans="1:25" s="70" customFormat="1" x14ac:dyDescent="0.25">
      <c r="A91" s="264" t="s">
        <v>340</v>
      </c>
      <c r="C91" s="63" t="s">
        <v>343</v>
      </c>
      <c r="D91" s="63" t="s">
        <v>342</v>
      </c>
      <c r="E91" s="370"/>
      <c r="F91" s="64" t="s">
        <v>85</v>
      </c>
      <c r="G91" s="65" t="s">
        <v>86</v>
      </c>
      <c r="H91" s="66" t="s">
        <v>25</v>
      </c>
      <c r="I91" s="67">
        <v>6.06</v>
      </c>
      <c r="J91" s="370"/>
      <c r="K91" s="370"/>
      <c r="L91" s="236"/>
      <c r="M91" s="68"/>
      <c r="N91" s="21">
        <f>IF(ISNA(VLOOKUP($C91,KLO_Det!$C$17:$H$108,6,FALSE)),0,VLOOKUP($C91,KLO_Det!$C$17:$H$108,6,FALSE))</f>
        <v>0</v>
      </c>
      <c r="O91" s="21">
        <f>IF(ISNA(VLOOKUP($C91,Spare_Det!$C$17:$H$107,6,FALSE)),0,VLOOKUP($C91,Spare_Det!$C$17:$H$107,6,FALSE))</f>
        <v>0</v>
      </c>
      <c r="P91" s="21"/>
      <c r="Q91" s="21"/>
      <c r="R91" s="21"/>
      <c r="S91" s="21"/>
      <c r="T91" s="21"/>
      <c r="U91" s="21"/>
      <c r="W91" s="214"/>
      <c r="X91" s="214"/>
      <c r="Y91" s="214"/>
    </row>
    <row r="92" spans="1:25" s="70" customFormat="1" x14ac:dyDescent="0.25">
      <c r="A92" s="264" t="s">
        <v>340</v>
      </c>
      <c r="B92" s="308" t="s">
        <v>452</v>
      </c>
      <c r="C92" s="63" t="s">
        <v>391</v>
      </c>
      <c r="D92" s="63" t="s">
        <v>342</v>
      </c>
      <c r="E92" s="370"/>
      <c r="F92" s="64" t="s">
        <v>85</v>
      </c>
      <c r="G92" s="65" t="s">
        <v>86</v>
      </c>
      <c r="H92" s="66" t="s">
        <v>26</v>
      </c>
      <c r="I92" s="67">
        <v>6.06</v>
      </c>
      <c r="J92" s="370"/>
      <c r="K92" s="370"/>
      <c r="L92" s="325"/>
      <c r="M92" s="68"/>
      <c r="N92" s="21">
        <f>IF(ISNA(VLOOKUP($C92,KLO_Det!$C$17:$H$108,6,FALSE)),0,VLOOKUP($C92,KLO_Det!$C$17:$H$108,6,FALSE))</f>
        <v>20</v>
      </c>
      <c r="O92" s="21">
        <f>IF(ISNA(VLOOKUP($C92,Spare_Det!$C$17:$H$107,6,FALSE)),0,VLOOKUP($C92,Spare_Det!$C$17:$H$107,6,FALSE))</f>
        <v>0</v>
      </c>
      <c r="P92" s="21"/>
      <c r="Q92" s="21"/>
      <c r="R92" s="21"/>
      <c r="S92" s="21"/>
      <c r="T92" s="21"/>
      <c r="U92" s="21"/>
      <c r="W92" s="214"/>
      <c r="X92" s="214"/>
      <c r="Y92" s="214"/>
    </row>
    <row r="93" spans="1:25" s="70" customFormat="1" x14ac:dyDescent="0.25">
      <c r="A93" s="264" t="s">
        <v>340</v>
      </c>
      <c r="C93" s="63" t="s">
        <v>333</v>
      </c>
      <c r="D93" s="63" t="s">
        <v>341</v>
      </c>
      <c r="E93" s="370"/>
      <c r="F93" s="64" t="s">
        <v>85</v>
      </c>
      <c r="G93" s="65" t="s">
        <v>86</v>
      </c>
      <c r="H93" s="66" t="s">
        <v>25</v>
      </c>
      <c r="I93" s="67">
        <v>6.1704999999999996E-2</v>
      </c>
      <c r="J93" s="370"/>
      <c r="K93" s="370"/>
      <c r="L93" s="222"/>
      <c r="M93" s="68"/>
      <c r="N93" s="21">
        <f>IF(ISNA(VLOOKUP($C93,KLO_Det!$C$17:$H$108,6,FALSE)),0,VLOOKUP($C93,KLO_Det!$C$17:$H$108,6,FALSE))</f>
        <v>0</v>
      </c>
      <c r="O93" s="21">
        <f>IF(ISNA(VLOOKUP($C93,Spare_Det!$C$17:$H$107,6,FALSE)),0,VLOOKUP($C93,Spare_Det!$C$17:$H$107,6,FALSE))</f>
        <v>0</v>
      </c>
      <c r="P93" s="21"/>
      <c r="Q93" s="21"/>
      <c r="R93" s="21"/>
      <c r="S93" s="21"/>
      <c r="T93" s="21"/>
      <c r="U93" s="21"/>
      <c r="W93" s="214"/>
      <c r="X93" s="214"/>
      <c r="Y93" s="214"/>
    </row>
    <row r="94" spans="1:25" s="70" customFormat="1" x14ac:dyDescent="0.25">
      <c r="A94" s="264" t="s">
        <v>340</v>
      </c>
      <c r="B94" s="308" t="s">
        <v>452</v>
      </c>
      <c r="C94" s="63" t="s">
        <v>390</v>
      </c>
      <c r="D94" s="63" t="s">
        <v>390</v>
      </c>
      <c r="E94" s="370"/>
      <c r="F94" s="64" t="s">
        <v>85</v>
      </c>
      <c r="G94" s="65" t="s">
        <v>86</v>
      </c>
      <c r="H94" s="66" t="s">
        <v>26</v>
      </c>
      <c r="I94" s="67">
        <v>0</v>
      </c>
      <c r="J94" s="370"/>
      <c r="K94" s="370"/>
      <c r="L94" s="46"/>
      <c r="M94" s="68"/>
      <c r="N94" s="21">
        <f>IF(ISNA(VLOOKUP($C94,KLO_Det!$C$17:$H$108,6,FALSE)),0,VLOOKUP($C94,KLO_Det!$C$17:$H$108,6,FALSE))</f>
        <v>12.395</v>
      </c>
      <c r="O94" s="21">
        <f>IF(ISNA(VLOOKUP($C94,Spare_Det!$C$17:$H$107,6,FALSE)),0,VLOOKUP($C94,Spare_Det!$C$17:$H$107,6,FALSE))</f>
        <v>0</v>
      </c>
      <c r="P94" s="21"/>
      <c r="Q94" s="21"/>
      <c r="R94" s="21"/>
      <c r="S94" s="21"/>
      <c r="T94" s="21"/>
      <c r="U94" s="21"/>
      <c r="W94" s="214"/>
      <c r="X94" s="214"/>
      <c r="Y94" s="214"/>
    </row>
    <row r="95" spans="1:25" s="70" customFormat="1" x14ac:dyDescent="0.25">
      <c r="A95" s="264" t="s">
        <v>340</v>
      </c>
      <c r="B95" s="308" t="s">
        <v>452</v>
      </c>
      <c r="C95" s="63" t="s">
        <v>396</v>
      </c>
      <c r="D95" s="63" t="s">
        <v>396</v>
      </c>
      <c r="E95" s="370"/>
      <c r="F95" s="64" t="s">
        <v>85</v>
      </c>
      <c r="G95" s="65" t="s">
        <v>86</v>
      </c>
      <c r="H95" s="66" t="s">
        <v>25</v>
      </c>
      <c r="I95" s="67">
        <v>131.47965539584138</v>
      </c>
      <c r="J95" s="370"/>
      <c r="K95" s="370"/>
      <c r="L95" s="46"/>
      <c r="M95" s="68"/>
      <c r="N95" s="21">
        <f>IF(ISNA(VLOOKUP($C95,KLO_Det!$C$17:$H$108,6,FALSE)),0,VLOOKUP($C95,KLO_Det!$C$17:$H$108,6,FALSE))</f>
        <v>3.1749999999999998</v>
      </c>
      <c r="O95" s="21">
        <f>IF(ISNA(VLOOKUP($C95,Spare_Det!$C$17:$H$107,6,FALSE)),0,VLOOKUP($C95,Spare_Det!$C$17:$H$107,6,FALSE))</f>
        <v>0</v>
      </c>
      <c r="P95" s="21"/>
      <c r="Q95" s="21"/>
      <c r="R95" s="21"/>
      <c r="S95" s="21"/>
      <c r="T95" s="21"/>
      <c r="U95" s="21"/>
      <c r="W95" s="214"/>
      <c r="X95" s="214"/>
      <c r="Y95" s="214"/>
    </row>
    <row r="96" spans="1:25" s="70" customFormat="1" x14ac:dyDescent="0.25">
      <c r="A96" s="264" t="s">
        <v>340</v>
      </c>
      <c r="B96" s="308" t="s">
        <v>452</v>
      </c>
      <c r="C96" s="63" t="s">
        <v>397</v>
      </c>
      <c r="D96" s="63" t="s">
        <v>398</v>
      </c>
      <c r="E96" s="370"/>
      <c r="F96" s="64" t="s">
        <v>85</v>
      </c>
      <c r="G96" s="65" t="s">
        <v>86</v>
      </c>
      <c r="H96" s="66" t="s">
        <v>25</v>
      </c>
      <c r="I96" s="67">
        <v>111.56299710036832</v>
      </c>
      <c r="J96" s="370"/>
      <c r="K96" s="370"/>
      <c r="L96" s="46"/>
      <c r="M96" s="68"/>
      <c r="N96" s="21">
        <f>IF(ISNA(VLOOKUP($C96,KLO_Det!$C$17:$H$108,6,FALSE)),0,VLOOKUP($C96,KLO_Det!$C$17:$H$108,6,FALSE))</f>
        <v>9.3000000000000007</v>
      </c>
      <c r="O96" s="21">
        <f>IF(ISNA(VLOOKUP($C96,Spare_Det!$C$17:$H$107,6,FALSE)),0,VLOOKUP($C96,Spare_Det!$C$17:$H$107,6,FALSE))</f>
        <v>0</v>
      </c>
      <c r="P96" s="21"/>
      <c r="Q96" s="21"/>
      <c r="R96" s="21"/>
      <c r="S96" s="21"/>
      <c r="T96" s="21"/>
      <c r="U96" s="21"/>
      <c r="W96" s="214"/>
      <c r="X96" s="214"/>
      <c r="Y96" s="214"/>
    </row>
    <row r="97" spans="1:25" s="70" customFormat="1" x14ac:dyDescent="0.25">
      <c r="A97" s="264" t="s">
        <v>340</v>
      </c>
      <c r="B97" s="308" t="s">
        <v>452</v>
      </c>
      <c r="C97" s="63" t="s">
        <v>386</v>
      </c>
      <c r="D97" s="63" t="s">
        <v>381</v>
      </c>
      <c r="E97" s="370"/>
      <c r="F97" s="64" t="s">
        <v>85</v>
      </c>
      <c r="G97" s="65" t="s">
        <v>86</v>
      </c>
      <c r="H97" s="66" t="s">
        <v>25</v>
      </c>
      <c r="I97" s="67">
        <v>4.3774577767537882E-2</v>
      </c>
      <c r="J97" s="370"/>
      <c r="K97" s="370"/>
      <c r="L97" s="46"/>
      <c r="M97" s="68"/>
      <c r="N97" s="21">
        <f>IF(ISNA(VLOOKUP($C97,KLO_Det!$C$17:$H$108,6,FALSE)),0,VLOOKUP($C97,KLO_Det!$C$17:$H$108,6,FALSE))</f>
        <v>450</v>
      </c>
      <c r="O97" s="21">
        <f>IF(ISNA(VLOOKUP($C97,Spare_Det!$C$17:$H$107,6,FALSE)),0,VLOOKUP($C97,Spare_Det!$C$17:$H$107,6,FALSE))</f>
        <v>0</v>
      </c>
      <c r="P97" s="21"/>
      <c r="Q97" s="21"/>
      <c r="R97" s="21"/>
      <c r="S97" s="21"/>
      <c r="T97" s="21"/>
      <c r="U97" s="21"/>
      <c r="W97" s="214"/>
      <c r="X97" s="214"/>
      <c r="Y97" s="214"/>
    </row>
    <row r="98" spans="1:25" s="70" customFormat="1" x14ac:dyDescent="0.25">
      <c r="A98" s="264" t="s">
        <v>340</v>
      </c>
      <c r="B98" s="308" t="s">
        <v>452</v>
      </c>
      <c r="C98" s="63" t="s">
        <v>380</v>
      </c>
      <c r="D98" s="63" t="s">
        <v>381</v>
      </c>
      <c r="E98" s="370"/>
      <c r="F98" s="64" t="s">
        <v>85</v>
      </c>
      <c r="G98" s="65" t="s">
        <v>86</v>
      </c>
      <c r="H98" s="66" t="s">
        <v>25</v>
      </c>
      <c r="I98" s="67">
        <v>6.4197386759582073E-2</v>
      </c>
      <c r="J98" s="370"/>
      <c r="K98" s="370"/>
      <c r="L98" s="46"/>
      <c r="M98" s="68"/>
      <c r="N98" s="21">
        <f>IF(ISNA(VLOOKUP($C98,KLO_Det!$C$17:$H$108,6,FALSE)),0,VLOOKUP($C98,KLO_Det!$C$17:$H$108,6,FALSE))</f>
        <v>200</v>
      </c>
      <c r="O98" s="21">
        <f>IF(ISNA(VLOOKUP($C98,Spare_Det!$C$17:$H$107,6,FALSE)),0,VLOOKUP($C98,Spare_Det!$C$17:$H$107,6,FALSE))</f>
        <v>0</v>
      </c>
      <c r="P98" s="21"/>
      <c r="Q98" s="21"/>
      <c r="R98" s="21"/>
      <c r="S98" s="21"/>
      <c r="T98" s="21"/>
      <c r="U98" s="21"/>
      <c r="W98" s="214"/>
      <c r="X98" s="214"/>
      <c r="Y98" s="214"/>
    </row>
    <row r="99" spans="1:25" s="70" customFormat="1" x14ac:dyDescent="0.25">
      <c r="A99" s="264" t="s">
        <v>340</v>
      </c>
      <c r="B99" s="308" t="s">
        <v>452</v>
      </c>
      <c r="C99" s="63" t="s">
        <v>387</v>
      </c>
      <c r="D99" s="63" t="s">
        <v>387</v>
      </c>
      <c r="E99" s="370"/>
      <c r="F99" s="64" t="s">
        <v>85</v>
      </c>
      <c r="G99" s="65" t="s">
        <v>86</v>
      </c>
      <c r="H99" s="66" t="s">
        <v>25</v>
      </c>
      <c r="I99" s="67">
        <v>3.1911672473867689</v>
      </c>
      <c r="J99" s="370"/>
      <c r="K99" s="370"/>
      <c r="L99" s="46"/>
      <c r="M99" s="68"/>
      <c r="N99" s="21">
        <f>IF(ISNA(VLOOKUP($C99,KLO_Det!$C$17:$H$108,6,FALSE)),0,VLOOKUP($C99,KLO_Det!$C$17:$H$108,6,FALSE))</f>
        <v>8</v>
      </c>
      <c r="O99" s="21">
        <f>IF(ISNA(VLOOKUP($C99,Spare_Det!$C$17:$H$107,6,FALSE)),0,VLOOKUP($C99,Spare_Det!$C$17:$H$107,6,FALSE))</f>
        <v>0</v>
      </c>
      <c r="P99" s="21"/>
      <c r="Q99" s="21"/>
      <c r="R99" s="21"/>
      <c r="S99" s="21"/>
      <c r="T99" s="21"/>
      <c r="U99" s="21"/>
      <c r="W99" s="214"/>
      <c r="X99" s="214"/>
      <c r="Y99" s="214"/>
    </row>
    <row r="100" spans="1:25" s="70" customFormat="1" x14ac:dyDescent="0.25">
      <c r="A100" s="264" t="s">
        <v>340</v>
      </c>
      <c r="B100" s="308" t="s">
        <v>452</v>
      </c>
      <c r="C100" s="63" t="s">
        <v>366</v>
      </c>
      <c r="D100" s="63" t="s">
        <v>366</v>
      </c>
      <c r="E100" s="370"/>
      <c r="F100" s="64" t="s">
        <v>85</v>
      </c>
      <c r="G100" s="65" t="s">
        <v>86</v>
      </c>
      <c r="H100" s="66" t="s">
        <v>25</v>
      </c>
      <c r="I100" s="67">
        <v>38.181794425087219</v>
      </c>
      <c r="J100" s="370"/>
      <c r="K100" s="370"/>
      <c r="L100" s="319"/>
      <c r="M100" s="68"/>
      <c r="N100" s="21">
        <f>IF(ISNA(VLOOKUP($C100,KLO_Det!$C$17:$H$108,6,FALSE)),0,VLOOKUP($C100,KLO_Det!$C$17:$H$108,6,FALSE))</f>
        <v>0</v>
      </c>
      <c r="O100" s="21">
        <f>IF(ISNA(VLOOKUP($C100,Spare_Det!$C$17:$H$107,6,FALSE)),0,VLOOKUP($C100,Spare_Det!$C$17:$H$107,6,FALSE))</f>
        <v>0</v>
      </c>
      <c r="P100" s="21"/>
      <c r="Q100" s="21"/>
      <c r="R100" s="21"/>
      <c r="S100" s="21"/>
      <c r="T100" s="21"/>
      <c r="U100" s="21"/>
      <c r="W100" s="214"/>
      <c r="X100" s="214"/>
      <c r="Y100" s="214"/>
    </row>
    <row r="101" spans="1:25" s="70" customFormat="1" x14ac:dyDescent="0.25">
      <c r="A101" s="264" t="s">
        <v>340</v>
      </c>
      <c r="B101" s="308" t="s">
        <v>452</v>
      </c>
      <c r="C101" s="63" t="s">
        <v>365</v>
      </c>
      <c r="D101" s="63" t="s">
        <v>367</v>
      </c>
      <c r="E101" s="370"/>
      <c r="F101" s="64" t="s">
        <v>85</v>
      </c>
      <c r="G101" s="65" t="s">
        <v>86</v>
      </c>
      <c r="H101" s="66" t="s">
        <v>25</v>
      </c>
      <c r="I101" s="67">
        <v>3.647891986062729E-2</v>
      </c>
      <c r="J101" s="370"/>
      <c r="K101" s="372"/>
      <c r="L101" s="319"/>
      <c r="M101" s="68"/>
      <c r="N101" s="21">
        <f>IF(ISNA(VLOOKUP($C101,KLO_Det!$C$17:$H$108,6,FALSE)),0,VLOOKUP($C101,KLO_Det!$C$17:$H$108,6,FALSE))</f>
        <v>0</v>
      </c>
      <c r="O101" s="21">
        <f>IF(ISNA(VLOOKUP($C101,Spare_Det!$C$17:$H$107,6,FALSE)),0,VLOOKUP($C101,Spare_Det!$C$17:$H$107,6,FALSE))</f>
        <v>0</v>
      </c>
      <c r="P101" s="21"/>
      <c r="Q101" s="21"/>
      <c r="R101" s="21"/>
      <c r="S101" s="21"/>
      <c r="T101" s="21"/>
      <c r="U101" s="21"/>
      <c r="W101" s="214"/>
      <c r="X101" s="214"/>
      <c r="Y101" s="214"/>
    </row>
    <row r="102" spans="1:25" s="70" customFormat="1" x14ac:dyDescent="0.25">
      <c r="A102" s="264" t="s">
        <v>340</v>
      </c>
      <c r="C102" s="63" t="s">
        <v>332</v>
      </c>
      <c r="D102" s="63" t="s">
        <v>345</v>
      </c>
      <c r="E102" s="370"/>
      <c r="F102" s="64" t="s">
        <v>85</v>
      </c>
      <c r="G102" s="65" t="s">
        <v>86</v>
      </c>
      <c r="H102" s="66" t="s">
        <v>25</v>
      </c>
      <c r="I102" s="67">
        <v>15.42</v>
      </c>
      <c r="J102" s="370"/>
      <c r="K102" s="370"/>
      <c r="L102" s="228"/>
      <c r="M102" s="68"/>
      <c r="N102" s="21">
        <f>IF(ISNA(VLOOKUP($C102,KLO_Det!$C$17:$H$108,6,FALSE)),0,VLOOKUP($C102,KLO_Det!$C$17:$H$108,6,FALSE))</f>
        <v>0</v>
      </c>
      <c r="O102" s="21">
        <f>IF(ISNA(VLOOKUP($C102,Spare_Det!$C$17:$H$107,6,FALSE)),0,VLOOKUP($C102,Spare_Det!$C$17:$H$107,6,FALSE))</f>
        <v>0</v>
      </c>
      <c r="P102" s="21"/>
      <c r="Q102" s="21"/>
      <c r="R102" s="21"/>
      <c r="S102" s="21"/>
      <c r="T102" s="21"/>
      <c r="U102" s="21"/>
      <c r="W102" s="214"/>
      <c r="X102" s="214"/>
      <c r="Y102" s="214"/>
    </row>
    <row r="103" spans="1:25" ht="30.6" customHeight="1" x14ac:dyDescent="0.25">
      <c r="B103" s="54" t="s">
        <v>172</v>
      </c>
      <c r="E103" s="73"/>
      <c r="F103" s="74"/>
      <c r="I103" s="55"/>
      <c r="J103" s="55"/>
      <c r="K103" s="55"/>
      <c r="L103" s="55"/>
      <c r="M103" s="55"/>
      <c r="N103" s="55"/>
    </row>
    <row r="104" spans="1:25" ht="14.45" customHeight="1" x14ac:dyDescent="0.25">
      <c r="C104" s="13"/>
      <c r="D104" s="13"/>
      <c r="E104" s="60" t="s">
        <v>101</v>
      </c>
      <c r="F104" s="13"/>
      <c r="G104" s="12"/>
      <c r="H104" s="12"/>
      <c r="I104" s="13"/>
      <c r="J104" s="13"/>
      <c r="K104" s="13"/>
      <c r="L104" s="55"/>
      <c r="M104" s="394"/>
      <c r="N104" s="394"/>
      <c r="O104" s="394"/>
    </row>
    <row r="105" spans="1:25" x14ac:dyDescent="0.25">
      <c r="B105" s="16"/>
      <c r="C105" s="61" t="s">
        <v>103</v>
      </c>
      <c r="D105" s="61" t="s">
        <v>104</v>
      </c>
      <c r="E105" s="62" t="s">
        <v>105</v>
      </c>
      <c r="F105" s="61" t="s">
        <v>106</v>
      </c>
      <c r="G105" s="61" t="s">
        <v>5</v>
      </c>
      <c r="H105" s="61" t="s">
        <v>18</v>
      </c>
      <c r="I105" s="61" t="s">
        <v>19</v>
      </c>
      <c r="J105" s="61" t="s">
        <v>107</v>
      </c>
      <c r="K105" s="61" t="s">
        <v>23</v>
      </c>
      <c r="L105" s="55"/>
      <c r="M105" s="2"/>
      <c r="N105" s="2"/>
      <c r="O105" s="2"/>
    </row>
    <row r="106" spans="1:25" x14ac:dyDescent="0.25">
      <c r="C106" s="63" t="s">
        <v>173</v>
      </c>
      <c r="D106" s="63" t="s">
        <v>174</v>
      </c>
      <c r="E106" s="370"/>
      <c r="F106" s="64" t="s">
        <v>85</v>
      </c>
      <c r="G106" s="65" t="s">
        <v>2</v>
      </c>
      <c r="H106" s="66" t="s">
        <v>25</v>
      </c>
      <c r="I106" s="67">
        <f>'Unit_Rates - $2015'!I50*1/Escalators!$G$12</f>
        <v>48.982274401473298</v>
      </c>
      <c r="J106" s="370"/>
      <c r="K106" s="370"/>
      <c r="L106" s="2"/>
      <c r="M106" s="68"/>
      <c r="N106" s="21">
        <f>IF(ISNA(VLOOKUP($C106,KLO_Det!$C$17:$H$108,6,FALSE)),0,VLOOKUP($C106,KLO_Det!$C$17:$H$108,6,FALSE))</f>
        <v>0</v>
      </c>
      <c r="O106" s="21">
        <f>IF(ISNA(VLOOKUP($C106,Spare_Det!$C$17:$H$107,6,FALSE)),0,VLOOKUP($C106,Spare_Det!$C$17:$H$107,6,FALSE))</f>
        <v>0</v>
      </c>
      <c r="P106" s="21"/>
      <c r="Q106" s="21"/>
      <c r="R106" s="21"/>
      <c r="S106" s="21"/>
      <c r="T106" s="21"/>
      <c r="U106" s="21"/>
    </row>
    <row r="107" spans="1:25" x14ac:dyDescent="0.25">
      <c r="C107" s="63" t="s">
        <v>175</v>
      </c>
      <c r="D107" s="63" t="s">
        <v>174</v>
      </c>
      <c r="E107" s="370"/>
      <c r="F107" s="64" t="s">
        <v>85</v>
      </c>
      <c r="G107" s="65" t="s">
        <v>2</v>
      </c>
      <c r="H107" s="66" t="s">
        <v>25</v>
      </c>
      <c r="I107" s="67">
        <f>'Unit_Rates - $2015'!I51*1/Escalators!$G$12</f>
        <v>61.81911602209945</v>
      </c>
      <c r="J107" s="370"/>
      <c r="K107" s="370"/>
      <c r="L107" s="2"/>
      <c r="M107" s="68"/>
      <c r="N107" s="21">
        <f>IF(ISNA(VLOOKUP($C107,KLO_Det!$C$17:$H$108,6,FALSE)),0,VLOOKUP($C107,KLO_Det!$C$17:$H$108,6,FALSE))</f>
        <v>0</v>
      </c>
      <c r="O107" s="21">
        <f>IF(ISNA(VLOOKUP($C107,Spare_Det!$C$17:$H$107,6,FALSE)),0,VLOOKUP($C107,Spare_Det!$C$17:$H$107,6,FALSE))</f>
        <v>0</v>
      </c>
      <c r="P107" s="21"/>
      <c r="Q107" s="21"/>
      <c r="R107" s="21"/>
      <c r="S107" s="21"/>
      <c r="T107" s="21"/>
      <c r="U107" s="21"/>
    </row>
    <row r="108" spans="1:25" x14ac:dyDescent="0.25">
      <c r="C108" s="63" t="s">
        <v>176</v>
      </c>
      <c r="D108" s="63" t="s">
        <v>177</v>
      </c>
      <c r="E108" s="370"/>
      <c r="F108" s="64" t="s">
        <v>85</v>
      </c>
      <c r="G108" s="65" t="s">
        <v>2</v>
      </c>
      <c r="H108" s="66" t="s">
        <v>25</v>
      </c>
      <c r="I108" s="67">
        <f>'Unit_Rates - $2015'!I52*1/Escalators!$G$12</f>
        <v>6.2430939226519344</v>
      </c>
      <c r="J108" s="370"/>
      <c r="K108" s="370"/>
      <c r="L108" s="2"/>
      <c r="M108" s="68"/>
      <c r="N108" s="21">
        <f>IF(ISNA(VLOOKUP($C108,KLO_Det!$C$17:$H$108,6,FALSE)),0,VLOOKUP($C108,KLO_Det!$C$17:$H$108,6,FALSE))</f>
        <v>0</v>
      </c>
      <c r="O108" s="21">
        <f>IF(ISNA(VLOOKUP($C108,Spare_Det!$C$17:$H$107,6,FALSE)),0,VLOOKUP($C108,Spare_Det!$C$17:$H$107,6,FALSE))</f>
        <v>0</v>
      </c>
      <c r="P108" s="21"/>
      <c r="Q108" s="21"/>
      <c r="R108" s="21"/>
      <c r="S108" s="21"/>
      <c r="T108" s="21"/>
      <c r="U108" s="21"/>
    </row>
    <row r="109" spans="1:25" x14ac:dyDescent="0.25">
      <c r="C109" s="63" t="s">
        <v>178</v>
      </c>
      <c r="D109" s="63" t="s">
        <v>178</v>
      </c>
      <c r="E109" s="370"/>
      <c r="F109" s="64" t="s">
        <v>85</v>
      </c>
      <c r="G109" s="65" t="s">
        <v>2</v>
      </c>
      <c r="H109" s="66" t="s">
        <v>25</v>
      </c>
      <c r="I109" s="67">
        <f>'Unit_Rates - $2015'!I53*1/Escalators!$G$12</f>
        <v>8.6955893186003674</v>
      </c>
      <c r="J109" s="370"/>
      <c r="K109" s="370"/>
      <c r="L109" s="2"/>
      <c r="M109" s="68"/>
      <c r="N109" s="21">
        <f>IF(ISNA(VLOOKUP($C109,KLO_Det!$C$17:$H$108,6,FALSE)),0,VLOOKUP($C109,KLO_Det!$C$17:$H$108,6,FALSE))</f>
        <v>0</v>
      </c>
      <c r="O109" s="21">
        <f>IF(ISNA(VLOOKUP($C109,Spare_Det!$C$17:$H$107,6,FALSE)),0,VLOOKUP($C109,Spare_Det!$C$17:$H$107,6,FALSE))</f>
        <v>0</v>
      </c>
      <c r="P109" s="21"/>
      <c r="Q109" s="21"/>
      <c r="R109" s="21"/>
      <c r="S109" s="21"/>
      <c r="T109" s="21"/>
      <c r="U109" s="21"/>
    </row>
    <row r="110" spans="1:25" x14ac:dyDescent="0.25">
      <c r="C110" s="63" t="s">
        <v>179</v>
      </c>
      <c r="D110" s="63" t="s">
        <v>180</v>
      </c>
      <c r="E110" s="370"/>
      <c r="F110" s="64" t="s">
        <v>85</v>
      </c>
      <c r="G110" s="65" t="s">
        <v>2</v>
      </c>
      <c r="H110" s="66" t="s">
        <v>25</v>
      </c>
      <c r="I110" s="67">
        <f>'Unit_Rates - $2015'!I54*1/Escalators!$G$12</f>
        <v>98.007730202578273</v>
      </c>
      <c r="J110" s="370"/>
      <c r="K110" s="370"/>
      <c r="L110" s="2"/>
      <c r="M110" s="68"/>
      <c r="N110" s="21">
        <f>IF(ISNA(VLOOKUP($C110,KLO_Det!$C$17:$H$108,6,FALSE)),0,VLOOKUP($C110,KLO_Det!$C$17:$H$108,6,FALSE))</f>
        <v>0</v>
      </c>
      <c r="O110" s="21">
        <f>IF(ISNA(VLOOKUP($C110,Spare_Det!$C$17:$H$107,6,FALSE)),0,VLOOKUP($C110,Spare_Det!$C$17:$H$107,6,FALSE))</f>
        <v>0</v>
      </c>
      <c r="P110" s="21"/>
      <c r="Q110" s="21"/>
      <c r="R110" s="21"/>
      <c r="S110" s="21"/>
      <c r="T110" s="21"/>
      <c r="U110" s="21"/>
    </row>
    <row r="111" spans="1:25" x14ac:dyDescent="0.25">
      <c r="C111" s="63" t="s">
        <v>181</v>
      </c>
      <c r="D111" s="63" t="s">
        <v>182</v>
      </c>
      <c r="E111" s="370"/>
      <c r="F111" s="64" t="s">
        <v>85</v>
      </c>
      <c r="G111" s="65" t="s">
        <v>2</v>
      </c>
      <c r="H111" s="66" t="s">
        <v>25</v>
      </c>
      <c r="I111" s="67">
        <f>'Unit_Rates - $2015'!I55*1/Escalators!$G$12</f>
        <v>197.65531307550646</v>
      </c>
      <c r="J111" s="370"/>
      <c r="K111" s="370"/>
      <c r="L111" s="2"/>
      <c r="M111" s="68"/>
      <c r="N111" s="21">
        <f>IF(ISNA(VLOOKUP($C111,KLO_Det!$C$17:$H$108,6,FALSE)),0,VLOOKUP($C111,KLO_Det!$C$17:$H$108,6,FALSE))</f>
        <v>0</v>
      </c>
      <c r="O111" s="21">
        <f>IF(ISNA(VLOOKUP($C111,Spare_Det!$C$17:$H$107,6,FALSE)),0,VLOOKUP($C111,Spare_Det!$C$17:$H$107,6,FALSE))</f>
        <v>0</v>
      </c>
      <c r="P111" s="21"/>
      <c r="Q111" s="21"/>
      <c r="R111" s="21"/>
      <c r="S111" s="21"/>
      <c r="T111" s="21"/>
      <c r="U111" s="21"/>
    </row>
    <row r="112" spans="1:25" x14ac:dyDescent="0.25">
      <c r="C112" s="63" t="s">
        <v>183</v>
      </c>
      <c r="D112" s="63" t="s">
        <v>184</v>
      </c>
      <c r="E112" s="370"/>
      <c r="F112" s="64" t="s">
        <v>85</v>
      </c>
      <c r="G112" s="65" t="s">
        <v>2</v>
      </c>
      <c r="H112" s="66" t="s">
        <v>25</v>
      </c>
      <c r="I112" s="67">
        <f>'Unit_Rates - $2015'!I56*1/Escalators!$G$12</f>
        <v>164.02376611418049</v>
      </c>
      <c r="J112" s="370"/>
      <c r="K112" s="370"/>
      <c r="L112" s="2"/>
      <c r="M112" s="68"/>
      <c r="N112" s="21">
        <f>IF(ISNA(VLOOKUP($C112,KLO_Det!$C$17:$H$108,6,FALSE)),0,VLOOKUP($C112,KLO_Det!$C$17:$H$108,6,FALSE))</f>
        <v>0</v>
      </c>
      <c r="O112" s="21">
        <f>IF(ISNA(VLOOKUP($C112,Spare_Det!$C$17:$H$107,6,FALSE)),0,VLOOKUP($C112,Spare_Det!$C$17:$H$107,6,FALSE))</f>
        <v>0</v>
      </c>
      <c r="P112" s="21"/>
      <c r="Q112" s="21"/>
      <c r="R112" s="21"/>
      <c r="S112" s="21"/>
      <c r="T112" s="21"/>
      <c r="U112" s="21"/>
    </row>
    <row r="113" spans="2:22" x14ac:dyDescent="0.25">
      <c r="B113" s="21"/>
      <c r="C113" s="63" t="s">
        <v>185</v>
      </c>
      <c r="D113" s="63" t="s">
        <v>186</v>
      </c>
      <c r="E113" s="370"/>
      <c r="F113" s="64" t="s">
        <v>85</v>
      </c>
      <c r="G113" s="65" t="s">
        <v>2</v>
      </c>
      <c r="H113" s="66" t="s">
        <v>25</v>
      </c>
      <c r="I113" s="67">
        <f>'Unit_Rates - $2015'!I57*1/Escalators!$G$12</f>
        <v>41.9660773480663</v>
      </c>
      <c r="J113" s="370"/>
      <c r="K113" s="370"/>
      <c r="L113" s="237"/>
      <c r="M113" s="68"/>
      <c r="N113" s="21">
        <f>IF(ISNA(VLOOKUP($C113,KLO_Det!$C$17:$H$108,6,FALSE)),0,VLOOKUP($C113,KLO_Det!$C$17:$H$108,6,FALSE))</f>
        <v>0</v>
      </c>
      <c r="O113" s="21">
        <f>IF(ISNA(VLOOKUP($C113,Spare_Det!$C$17:$H$107,6,FALSE)),0,VLOOKUP($C113,Spare_Det!$C$17:$H$107,6,FALSE))</f>
        <v>0</v>
      </c>
      <c r="P113" s="21"/>
      <c r="Q113" s="21"/>
      <c r="R113" s="21"/>
      <c r="S113" s="21"/>
      <c r="T113" s="21"/>
      <c r="U113" s="21"/>
    </row>
    <row r="114" spans="2:22" x14ac:dyDescent="0.25">
      <c r="B114" s="21"/>
      <c r="C114" s="63" t="s">
        <v>187</v>
      </c>
      <c r="D114" s="63" t="s">
        <v>188</v>
      </c>
      <c r="E114" s="370"/>
      <c r="F114" s="64" t="s">
        <v>85</v>
      </c>
      <c r="G114" s="65" t="s">
        <v>2</v>
      </c>
      <c r="H114" s="66" t="s">
        <v>25</v>
      </c>
      <c r="I114" s="67">
        <f>'Unit_Rates - $2015'!I58*1/Escalators!$G$12</f>
        <v>33.683572744014732</v>
      </c>
      <c r="J114" s="370"/>
      <c r="K114" s="370"/>
      <c r="L114" s="237"/>
      <c r="M114" s="68"/>
      <c r="N114" s="21">
        <f>IF(ISNA(VLOOKUP($C114,KLO_Det!$C$17:$H$108,6,FALSE)),0,VLOOKUP($C114,KLO_Det!$C$17:$H$108,6,FALSE))</f>
        <v>0</v>
      </c>
      <c r="O114" s="21">
        <f>IF(ISNA(VLOOKUP($C114,Spare_Det!$C$17:$H$107,6,FALSE)),0,VLOOKUP($C114,Spare_Det!$C$17:$H$107,6,FALSE))</f>
        <v>0</v>
      </c>
      <c r="P114" s="21"/>
      <c r="Q114" s="21"/>
      <c r="R114" s="21"/>
      <c r="S114" s="21"/>
      <c r="T114" s="21"/>
      <c r="U114" s="21"/>
    </row>
    <row r="115" spans="2:22" x14ac:dyDescent="0.25">
      <c r="C115" s="63" t="s">
        <v>189</v>
      </c>
      <c r="D115" s="63" t="s">
        <v>190</v>
      </c>
      <c r="E115" s="370"/>
      <c r="F115" s="64" t="s">
        <v>85</v>
      </c>
      <c r="G115" s="65" t="s">
        <v>2</v>
      </c>
      <c r="H115" s="66" t="s">
        <v>25</v>
      </c>
      <c r="I115" s="67">
        <f>'Unit_Rates - $2015'!I59*1/Escalators!$G$12</f>
        <v>149.33974883720927</v>
      </c>
      <c r="J115" s="370"/>
      <c r="K115" s="370"/>
      <c r="L115" s="2"/>
      <c r="M115" s="68"/>
      <c r="N115" s="21">
        <f>IF(ISNA(VLOOKUP($C115,KLO_Det!$C$17:$H$108,6,FALSE)),0,VLOOKUP($C115,KLO_Det!$C$17:$H$108,6,FALSE))</f>
        <v>0</v>
      </c>
      <c r="O115" s="21">
        <f>IF(ISNA(VLOOKUP($C115,Spare_Det!$C$17:$H$107,6,FALSE)),0,VLOOKUP($C115,Spare_Det!$C$17:$H$107,6,FALSE))</f>
        <v>0</v>
      </c>
      <c r="P115" s="21"/>
      <c r="Q115" s="21"/>
      <c r="R115" s="21"/>
      <c r="S115" s="21"/>
      <c r="T115" s="21"/>
      <c r="U115" s="21"/>
    </row>
    <row r="116" spans="2:22" x14ac:dyDescent="0.25">
      <c r="C116" s="63" t="s">
        <v>191</v>
      </c>
      <c r="D116" s="63" t="s">
        <v>192</v>
      </c>
      <c r="E116" s="370"/>
      <c r="F116" s="64" t="s">
        <v>85</v>
      </c>
      <c r="G116" s="65" t="s">
        <v>2</v>
      </c>
      <c r="H116" s="66" t="s">
        <v>25</v>
      </c>
      <c r="I116" s="67">
        <f>'Unit_Rates - $2015'!I60*1/Escalators!$G$12</f>
        <v>92.239631675874776</v>
      </c>
      <c r="J116" s="370"/>
      <c r="K116" s="370"/>
      <c r="L116" s="2"/>
      <c r="M116" s="68"/>
      <c r="N116" s="21">
        <f>IF(ISNA(VLOOKUP($C116,KLO_Det!$C$17:$H$108,6,FALSE)),0,VLOOKUP($C116,KLO_Det!$C$17:$H$108,6,FALSE))</f>
        <v>2</v>
      </c>
      <c r="O116" s="21">
        <f>IF(ISNA(VLOOKUP($C116,Spare_Det!$C$17:$H$107,6,FALSE)),0,VLOOKUP($C116,Spare_Det!$C$17:$H$107,6,FALSE))</f>
        <v>0</v>
      </c>
      <c r="P116" s="21"/>
      <c r="Q116" s="21"/>
      <c r="R116" s="21"/>
      <c r="S116" s="21"/>
      <c r="T116" s="21"/>
      <c r="U116" s="21"/>
    </row>
    <row r="117" spans="2:22" x14ac:dyDescent="0.25">
      <c r="E117" s="73"/>
      <c r="F117" s="74"/>
      <c r="I117" s="55"/>
      <c r="J117" s="55"/>
      <c r="K117" s="55"/>
      <c r="L117" s="55"/>
      <c r="M117" s="55"/>
      <c r="N117" s="55"/>
    </row>
    <row r="118" spans="2:22" x14ac:dyDescent="0.25">
      <c r="E118" s="75"/>
    </row>
    <row r="119" spans="2:22" x14ac:dyDescent="0.25">
      <c r="B119" s="3" t="s">
        <v>193</v>
      </c>
    </row>
    <row r="120" spans="2:22" ht="15" customHeight="1" x14ac:dyDescent="0.25">
      <c r="C120" s="13"/>
      <c r="D120" s="13"/>
      <c r="E120" s="60" t="s">
        <v>101</v>
      </c>
      <c r="F120" s="13"/>
      <c r="G120" s="12"/>
      <c r="H120" s="12"/>
      <c r="I120" s="13"/>
      <c r="J120" s="76"/>
      <c r="K120" s="393" t="s">
        <v>21</v>
      </c>
      <c r="L120" s="393" t="s">
        <v>22</v>
      </c>
      <c r="M120" s="77"/>
      <c r="N120" s="78"/>
      <c r="O120" s="79"/>
    </row>
    <row r="121" spans="2:22" x14ac:dyDescent="0.25">
      <c r="C121" s="61" t="s">
        <v>103</v>
      </c>
      <c r="D121" s="61" t="s">
        <v>104</v>
      </c>
      <c r="E121" s="62" t="s">
        <v>105</v>
      </c>
      <c r="F121" s="61" t="s">
        <v>106</v>
      </c>
      <c r="G121" s="61" t="s">
        <v>5</v>
      </c>
      <c r="H121" s="61" t="s">
        <v>18</v>
      </c>
      <c r="I121" s="61" t="s">
        <v>19</v>
      </c>
      <c r="J121" s="62" t="s">
        <v>66</v>
      </c>
      <c r="K121" s="393"/>
      <c r="L121" s="393"/>
      <c r="M121" s="80" t="s">
        <v>23</v>
      </c>
      <c r="N121" s="80"/>
      <c r="O121" s="2"/>
    </row>
    <row r="122" spans="2:22" ht="28.5" customHeight="1" x14ac:dyDescent="0.25">
      <c r="C122" s="398" t="s">
        <v>194</v>
      </c>
      <c r="D122" s="399" t="s">
        <v>195</v>
      </c>
      <c r="E122" s="400">
        <v>23.583362962962966</v>
      </c>
      <c r="F122" s="402" t="s">
        <v>85</v>
      </c>
      <c r="G122" s="65" t="s">
        <v>86</v>
      </c>
      <c r="H122" s="66" t="s">
        <v>25</v>
      </c>
      <c r="I122" s="67">
        <f>'Unit_Rates - $2015'!I66*1/Escalators!$G$12</f>
        <v>0</v>
      </c>
      <c r="J122" s="67">
        <f>'Unit_Rates - $2015'!J66*1/Escalators!$G$12*Escalators!$G$32</f>
        <v>2.1827270513092376</v>
      </c>
      <c r="K122" s="67">
        <f>'Unit_Rates - $2015'!K66*1/Escalators!$G$12*Escalators!$G$33</f>
        <v>3.9888527555850017</v>
      </c>
      <c r="L122" s="67">
        <f>'Unit_Rates - $2015'!L66*1/Escalators!$G$12*Escalators!$G$33</f>
        <v>0</v>
      </c>
      <c r="M122" s="67">
        <f>'Unit_Rates - $2015'!M66*1/Escalators!$G$12</f>
        <v>0</v>
      </c>
      <c r="N122" s="63" t="s">
        <v>196</v>
      </c>
      <c r="O122" s="82"/>
    </row>
    <row r="123" spans="2:22" ht="24.75" customHeight="1" x14ac:dyDescent="0.25">
      <c r="C123" s="398"/>
      <c r="D123" s="399"/>
      <c r="E123" s="401"/>
      <c r="F123" s="402"/>
      <c r="G123" s="65" t="s">
        <v>86</v>
      </c>
      <c r="H123" s="66" t="s">
        <v>25</v>
      </c>
      <c r="I123" s="67">
        <f>'Unit_Rates - $2015'!I67*1/Escalators!$G$12</f>
        <v>0</v>
      </c>
      <c r="J123" s="67">
        <f>'Unit_Rates - $2015'!J67*1/Escalators!$G$12*Escalators!$G$32</f>
        <v>8.4883829773137052</v>
      </c>
      <c r="K123" s="67">
        <f>'Unit_Rates - $2015'!K67*1/Escalators!$G$12*Escalators!$G$33</f>
        <v>19.76590044332568</v>
      </c>
      <c r="L123" s="67">
        <f>'Unit_Rates - $2015'!L67*1/Escalators!$G$12*Escalators!$G$33</f>
        <v>0</v>
      </c>
      <c r="M123" s="67">
        <f>'Unit_Rates - $2015'!M67*1/Escalators!$G$12</f>
        <v>0</v>
      </c>
      <c r="N123" s="63" t="s">
        <v>197</v>
      </c>
      <c r="O123" s="82"/>
      <c r="Q123" s="21">
        <f>IF(ISNA(VLOOKUP($C123,KLO_Det!$C$17:$H$124,6,FALSE)),0,VLOOKUP($C123,KLO_Det!$C$17:$H$124,6,FALSE))</f>
        <v>0</v>
      </c>
      <c r="R123" s="21">
        <f>IF(ISNA(VLOOKUP($C123,Spare_Det!$C$17:$H$95,6,FALSE)),0,VLOOKUP($C123,Spare_Det!$C$17:$H$95,6,FALSE))</f>
        <v>0</v>
      </c>
      <c r="S123" s="21"/>
      <c r="T123" s="21"/>
      <c r="U123" s="21"/>
    </row>
    <row r="124" spans="2:22" x14ac:dyDescent="0.25">
      <c r="C124" s="63" t="s">
        <v>198</v>
      </c>
      <c r="D124" s="63" t="s">
        <v>199</v>
      </c>
      <c r="E124" s="370"/>
      <c r="F124" s="64" t="s">
        <v>85</v>
      </c>
      <c r="G124" s="65" t="s">
        <v>86</v>
      </c>
      <c r="H124" s="66" t="s">
        <v>25</v>
      </c>
      <c r="I124" s="370"/>
      <c r="J124" s="370"/>
      <c r="K124" s="370"/>
      <c r="L124" s="370"/>
      <c r="M124" s="370"/>
      <c r="N124" s="83"/>
      <c r="O124" s="82"/>
      <c r="P124" s="6"/>
      <c r="Q124" s="21">
        <f>IF(ISNA(VLOOKUP($C124,KLO_Det!$C$17:$H$124,6,FALSE)),0,VLOOKUP($C124,KLO_Det!$C$17:$H$124,6,FALSE))</f>
        <v>0</v>
      </c>
      <c r="R124" s="21">
        <f>IF(ISNA(VLOOKUP($C124,Spare_Det!$C$17:$H$95,6,FALSE)),0,VLOOKUP($C124,Spare_Det!$C$17:$H$95,6,FALSE))</f>
        <v>0</v>
      </c>
      <c r="S124" s="21"/>
      <c r="T124" s="21"/>
      <c r="U124" s="21"/>
    </row>
    <row r="125" spans="2:22" x14ac:dyDescent="0.25">
      <c r="C125" s="63" t="s">
        <v>200</v>
      </c>
      <c r="D125" s="63" t="s">
        <v>201</v>
      </c>
      <c r="E125" s="370"/>
      <c r="F125" s="64" t="s">
        <v>85</v>
      </c>
      <c r="G125" s="65" t="s">
        <v>86</v>
      </c>
      <c r="H125" s="66" t="s">
        <v>25</v>
      </c>
      <c r="I125" s="370"/>
      <c r="J125" s="370"/>
      <c r="K125" s="370"/>
      <c r="L125" s="370"/>
      <c r="M125" s="370"/>
      <c r="N125" s="83"/>
      <c r="O125" s="82"/>
      <c r="P125" s="6"/>
      <c r="Q125" s="21">
        <f>IF(ISNA(VLOOKUP($C125,KLO_Det!$C$17:$H$124,6,FALSE)),0,VLOOKUP($C125,KLO_Det!$C$17:$H$124,6,FALSE))</f>
        <v>0</v>
      </c>
      <c r="R125" s="21">
        <f>IF(ISNA(VLOOKUP($C125,Spare_Det!$C$17:$H$95,6,FALSE)),0,VLOOKUP($C125,Spare_Det!$C$17:$H$95,6,FALSE))</f>
        <v>0</v>
      </c>
      <c r="S125" s="21"/>
      <c r="T125" s="21"/>
      <c r="U125" s="21"/>
    </row>
    <row r="126" spans="2:22" x14ac:dyDescent="0.25">
      <c r="C126" s="63" t="s">
        <v>202</v>
      </c>
      <c r="D126" s="63" t="s">
        <v>203</v>
      </c>
      <c r="E126" s="370"/>
      <c r="F126" s="64" t="s">
        <v>85</v>
      </c>
      <c r="G126" s="65" t="s">
        <v>86</v>
      </c>
      <c r="H126" s="66" t="s">
        <v>25</v>
      </c>
      <c r="I126" s="370"/>
      <c r="J126" s="370"/>
      <c r="K126" s="370"/>
      <c r="L126" s="370"/>
      <c r="M126" s="370"/>
      <c r="N126" s="83"/>
      <c r="O126" s="82"/>
      <c r="P126" s="6"/>
      <c r="Q126" s="21">
        <f>IF(ISNA(VLOOKUP($C126,KLO_Det!$C$17:$H$124,6,FALSE)),0,VLOOKUP($C126,KLO_Det!$C$17:$H$124,6,FALSE))</f>
        <v>0</v>
      </c>
      <c r="R126" s="21">
        <f>IF(ISNA(VLOOKUP($C126,Spare_Det!$C$17:$H$95,6,FALSE)),0,VLOOKUP($C126,Spare_Det!$C$17:$H$95,6,FALSE))</f>
        <v>0</v>
      </c>
      <c r="S126" s="21"/>
      <c r="T126" s="21"/>
      <c r="U126" s="21"/>
    </row>
    <row r="127" spans="2:22" x14ac:dyDescent="0.25">
      <c r="C127" s="63" t="s">
        <v>204</v>
      </c>
      <c r="D127" s="63" t="s">
        <v>205</v>
      </c>
      <c r="E127" s="67">
        <f t="shared" ref="E127:E133" si="0">SUM(I127:M127)</f>
        <v>58.579152635850363</v>
      </c>
      <c r="F127" s="64" t="s">
        <v>85</v>
      </c>
      <c r="G127" s="65" t="s">
        <v>86</v>
      </c>
      <c r="H127" s="66" t="s">
        <v>25</v>
      </c>
      <c r="I127" s="67">
        <f>'Unit_Rates - $2015'!I71*1/Escalators!$G$12</f>
        <v>18.133609302325581</v>
      </c>
      <c r="J127" s="67">
        <f>'Unit_Rates - $2015'!J71*1/Escalators!$G$12*Escalators!$G$32</f>
        <v>3.4597982840404655</v>
      </c>
      <c r="K127" s="67">
        <f>'Unit_Rates - $2015'!K71*1/Escalators!$G$12*Escalators!$G$33</f>
        <v>0</v>
      </c>
      <c r="L127" s="67">
        <f>'Unit_Rates - $2015'!L71*1/Escalators!$G$12*Escalators!$G$33</f>
        <v>32.925694532339904</v>
      </c>
      <c r="M127" s="67">
        <f>'Unit_Rates - $2015'!M71*1/Escalators!$G$12</f>
        <v>4.0600505171444095</v>
      </c>
      <c r="N127" s="83"/>
      <c r="O127" s="82"/>
      <c r="P127" s="6"/>
      <c r="Q127" s="21">
        <f>IF(ISNA(VLOOKUP($C127,KLO_Det!$C$17:$H$124,6,FALSE)),0,VLOOKUP($C127,KLO_Det!$C$17:$H$124,6,FALSE))</f>
        <v>0</v>
      </c>
      <c r="R127" s="21">
        <f>IF(ISNA(VLOOKUP($C127,Spare_Det!$C$17:$H$95,6,FALSE)),0,VLOOKUP($C127,Spare_Det!$C$17:$H$95,6,FALSE))</f>
        <v>0</v>
      </c>
      <c r="S127" s="21"/>
      <c r="T127" s="21"/>
      <c r="U127" s="21"/>
    </row>
    <row r="128" spans="2:22" ht="30" x14ac:dyDescent="0.25">
      <c r="B128" s="390" t="s">
        <v>382</v>
      </c>
      <c r="C128" s="322"/>
      <c r="D128" s="84" t="s">
        <v>207</v>
      </c>
      <c r="E128" s="293">
        <f t="shared" si="0"/>
        <v>15.073780243679566</v>
      </c>
      <c r="F128" s="86" t="s">
        <v>85</v>
      </c>
      <c r="G128" s="87" t="s">
        <v>86</v>
      </c>
      <c r="H128" s="66" t="s">
        <v>25</v>
      </c>
      <c r="I128" s="92">
        <f>'Unit_Rates - $2015'!I72*1/Escalators!$G$12</f>
        <v>0</v>
      </c>
      <c r="J128" s="92">
        <f>'Unit_Rates - $2015'!J72*1/Escalators!$G$12*Escalators!$G$32</f>
        <v>6.5903594544361059</v>
      </c>
      <c r="K128" s="92">
        <f>'Unit_Rates - $2015'!K72*1/Escalators!$G$12*Escalators!$G$33</f>
        <v>0</v>
      </c>
      <c r="L128" s="92">
        <f>'Unit_Rates - $2015'!L72*1/Escalators!$G$12*Escalators!$G$33</f>
        <v>8.4834207892434605</v>
      </c>
      <c r="M128" s="92">
        <f>'Unit_Rates - $2015'!M72*1/Escalators!$G$12</f>
        <v>0</v>
      </c>
      <c r="N128" s="63"/>
      <c r="O128" s="82"/>
      <c r="Q128" s="21">
        <f>IF(ISNA(VLOOKUP($C128,KLO_Det!$C$17:$H$124,6,FALSE)),0,VLOOKUP($C128,KLO_Det!$C$17:$H$124,6,FALSE))</f>
        <v>0</v>
      </c>
      <c r="R128" s="21">
        <f>IF(ISNA(VLOOKUP($C128,Spare_Det!$C$17:$H$95,6,FALSE)),0,VLOOKUP($C128,Spare_Det!$C$17:$H$95,6,FALSE))</f>
        <v>0</v>
      </c>
      <c r="S128" s="21"/>
      <c r="T128" s="21"/>
      <c r="U128" s="21"/>
      <c r="V128" t="s">
        <v>208</v>
      </c>
    </row>
    <row r="129" spans="2:22" x14ac:dyDescent="0.25">
      <c r="B129" s="391"/>
      <c r="C129" s="322"/>
      <c r="D129" s="84" t="s">
        <v>209</v>
      </c>
      <c r="E129" s="293">
        <f t="shared" si="0"/>
        <v>0.56751970099786619</v>
      </c>
      <c r="F129" s="64" t="s">
        <v>85</v>
      </c>
      <c r="G129" s="65" t="s">
        <v>86</v>
      </c>
      <c r="H129" s="66" t="s">
        <v>26</v>
      </c>
      <c r="I129" s="67">
        <f>'Unit_Rates - $2015'!I73*1/Escalators!$G$12</f>
        <v>0</v>
      </c>
      <c r="J129" s="67">
        <f>'Unit_Rates - $2015'!J73*1/Escalators!$G$12*Escalators!$G$32</f>
        <v>0</v>
      </c>
      <c r="K129" s="67">
        <f>'Unit_Rates - $2015'!K73*1/Escalators!$G$12*Escalators!$G$33</f>
        <v>0</v>
      </c>
      <c r="L129" s="67">
        <f>'Unit_Rates - $2015'!L73*1/Escalators!$G$12*Escalators!$G$33</f>
        <v>0.56751970099786619</v>
      </c>
      <c r="M129" s="67">
        <f>'Unit_Rates - $2015'!M73*1/Escalators!$G$12</f>
        <v>0</v>
      </c>
      <c r="N129" s="63"/>
      <c r="O129" s="82"/>
      <c r="Q129" s="21">
        <f>IF(ISNA(VLOOKUP($C129,KLO_Det!$C$17:$H$124,6,FALSE)),0,VLOOKUP($C129,KLO_Det!$C$17:$H$124,6,FALSE))</f>
        <v>0</v>
      </c>
      <c r="R129" s="21">
        <f>IF(ISNA(VLOOKUP($C129,Spare_Det!$C$17:$H$95,6,FALSE)),0,VLOOKUP($C129,Spare_Det!$C$17:$H$95,6,FALSE))</f>
        <v>0</v>
      </c>
      <c r="S129" s="21"/>
      <c r="T129" s="21"/>
      <c r="U129" s="21"/>
      <c r="V129" t="s">
        <v>210</v>
      </c>
    </row>
    <row r="130" spans="2:22" ht="30" x14ac:dyDescent="0.25">
      <c r="B130" s="391"/>
      <c r="C130" s="322"/>
      <c r="D130" s="89" t="s">
        <v>211</v>
      </c>
      <c r="E130" s="293">
        <f t="shared" si="0"/>
        <v>3.346484702505383</v>
      </c>
      <c r="F130" s="86" t="s">
        <v>85</v>
      </c>
      <c r="G130" s="87" t="s">
        <v>86</v>
      </c>
      <c r="H130" s="90" t="s">
        <v>26</v>
      </c>
      <c r="I130" s="92">
        <f>'Unit_Rates - $2015'!I74*1/Escalators!$G$12</f>
        <v>0</v>
      </c>
      <c r="J130" s="92">
        <f>'Unit_Rates - $2015'!J74*1/Escalators!$G$12*Escalators!$G$32</f>
        <v>0.1626127007148219</v>
      </c>
      <c r="K130" s="92">
        <f>'Unit_Rates - $2015'!K74*1/Escalators!$G$12*Escalators!$G$33</f>
        <v>0</v>
      </c>
      <c r="L130" s="92">
        <f>'Unit_Rates - $2015'!L74*1/Escalators!$G$12*Escalators!$G$33</f>
        <v>3.1838720017905611</v>
      </c>
      <c r="M130" s="92">
        <f>'Unit_Rates - $2015'!M74*1/Escalators!$G$12</f>
        <v>0</v>
      </c>
      <c r="N130" s="91"/>
      <c r="O130" s="82"/>
      <c r="Q130" s="21">
        <f>IF(ISNA(VLOOKUP($C130,KLO_Det!$C$17:$H$124,6,FALSE)),0,VLOOKUP($C130,KLO_Det!$C$17:$H$124,6,FALSE))</f>
        <v>0</v>
      </c>
      <c r="R130" s="21">
        <f>IF(ISNA(VLOOKUP($C130,Spare_Det!$C$17:$H$95,6,FALSE)),0,VLOOKUP($C130,Spare_Det!$C$17:$H$95,6,FALSE))</f>
        <v>0</v>
      </c>
      <c r="S130" s="21"/>
      <c r="T130" s="21"/>
      <c r="U130" s="21"/>
      <c r="V130" t="s">
        <v>212</v>
      </c>
    </row>
    <row r="131" spans="2:22" x14ac:dyDescent="0.25">
      <c r="B131" s="391"/>
      <c r="C131" s="322"/>
      <c r="D131" s="89" t="s">
        <v>213</v>
      </c>
      <c r="E131" s="293">
        <f t="shared" si="0"/>
        <v>39.127587383964311</v>
      </c>
      <c r="F131" s="86" t="s">
        <v>85</v>
      </c>
      <c r="G131" s="87" t="s">
        <v>86</v>
      </c>
      <c r="H131" s="90" t="s">
        <v>25</v>
      </c>
      <c r="I131" s="92">
        <f>'Unit_Rates - $2015'!I75*1/Escalators!$G$12</f>
        <v>12.429112570356471</v>
      </c>
      <c r="J131" s="92">
        <f>'Unit_Rates - $2015'!J75*1/Escalators!$G$12*Escalators!$G$32</f>
        <v>3.2609708570042826</v>
      </c>
      <c r="K131" s="92">
        <f>'Unit_Rates - $2015'!K75*1/Escalators!$G$12*Escalators!$G$33</f>
        <v>1.63517469464676</v>
      </c>
      <c r="L131" s="92">
        <f>'Unit_Rates - $2015'!L75*1/Escalators!$G$12*Escalators!$G$33</f>
        <v>21.802329261956796</v>
      </c>
      <c r="M131" s="92">
        <f>'Unit_Rates - $2015'!M75*1/Escalators!$G$12</f>
        <v>0</v>
      </c>
      <c r="N131" s="91"/>
      <c r="O131" s="82"/>
      <c r="Q131" s="21">
        <f>IF(ISNA(VLOOKUP($C131,KLO_Det!$C$17:$H$124,6,FALSE)),0,VLOOKUP($C131,KLO_Det!$C$17:$H$124,6,FALSE))</f>
        <v>0</v>
      </c>
      <c r="R131" s="21">
        <f>IF(ISNA(VLOOKUP($C131,Spare_Det!$C$17:$H$95,6,FALSE)),0,VLOOKUP($C131,Spare_Det!$C$17:$H$95,6,FALSE))</f>
        <v>0</v>
      </c>
      <c r="S131" s="21"/>
      <c r="T131" s="21"/>
      <c r="U131" s="21"/>
      <c r="V131" t="s">
        <v>214</v>
      </c>
    </row>
    <row r="132" spans="2:22" x14ac:dyDescent="0.25">
      <c r="B132" s="391"/>
      <c r="C132" s="361" t="s">
        <v>216</v>
      </c>
      <c r="D132" s="362" t="s">
        <v>216</v>
      </c>
      <c r="E132" s="293">
        <f t="shared" si="0"/>
        <v>80.368821395059754</v>
      </c>
      <c r="F132" s="86" t="s">
        <v>85</v>
      </c>
      <c r="G132" s="87" t="s">
        <v>86</v>
      </c>
      <c r="H132" s="90" t="s">
        <v>25</v>
      </c>
      <c r="I132" s="92">
        <f>'Unit_Rates - $2015'!I76*1/Escalators!$G$12</f>
        <v>22.603922249219018</v>
      </c>
      <c r="J132" s="92">
        <v>20.350826596208069</v>
      </c>
      <c r="K132" s="92">
        <f>'Unit_Rates - $2015'!K76*1/Escalators!$G$12*Escalators!$G$33</f>
        <v>4.7858004636387212</v>
      </c>
      <c r="L132" s="92">
        <f>'Unit_Rates - $2015'!L76*1/Escalators!$G$12*Escalators!$G$33</f>
        <v>25.980059659753056</v>
      </c>
      <c r="M132" s="92">
        <f>'Unit_Rates - $2015'!M76*1/Escalators!$G$12</f>
        <v>6.6482124262408862</v>
      </c>
      <c r="N132" s="91"/>
      <c r="O132" s="82"/>
      <c r="Q132" s="21">
        <f>IF(ISNA(VLOOKUP($C132,KLO_Det!$C$17:$H$124,6,FALSE)),0,VLOOKUP($C132,KLO_Det!$C$17:$H$124,6,FALSE))</f>
        <v>1</v>
      </c>
      <c r="R132" s="21">
        <f>IF(ISNA(VLOOKUP($C132,Spare_Det!$C$17:$H$95,6,FALSE)),0,VLOOKUP($C132,Spare_Det!$C$17:$H$95,6,FALSE))</f>
        <v>0</v>
      </c>
      <c r="S132" s="21"/>
      <c r="T132" s="21"/>
      <c r="U132" s="21"/>
      <c r="V132" t="s">
        <v>216</v>
      </c>
    </row>
    <row r="133" spans="2:22" x14ac:dyDescent="0.25">
      <c r="B133" s="391"/>
      <c r="C133" s="322"/>
      <c r="D133" s="63" t="s">
        <v>217</v>
      </c>
      <c r="E133" s="67">
        <f t="shared" si="0"/>
        <v>13.092232558139532</v>
      </c>
      <c r="F133" s="64" t="s">
        <v>85</v>
      </c>
      <c r="G133" s="65" t="s">
        <v>91</v>
      </c>
      <c r="H133" s="66" t="s">
        <v>90</v>
      </c>
      <c r="I133" s="67">
        <f>'Unit_Rates - $2015'!I77*1/Escalators!$G$12</f>
        <v>13.092232558139532</v>
      </c>
      <c r="J133" s="67">
        <f>'Unit_Rates - $2015'!J77*1/Escalators!$G$12*Escalators!$G$32</f>
        <v>0</v>
      </c>
      <c r="K133" s="67">
        <f>'Unit_Rates - $2015'!K77*1/Escalators!$G$12*Escalators!$G$33</f>
        <v>0</v>
      </c>
      <c r="L133" s="67">
        <f>'Unit_Rates - $2015'!L77*1/Escalators!$G$12*Escalators!$G$33</f>
        <v>0</v>
      </c>
      <c r="M133" s="67">
        <f>'Unit_Rates - $2015'!M77*1/Escalators!$G$12</f>
        <v>0</v>
      </c>
      <c r="N133" s="63"/>
      <c r="O133" s="82"/>
      <c r="Q133" s="21">
        <f>IF(ISNA(VLOOKUP($C133,KLO_Det!$C$17:$H$124,6,FALSE)),0,VLOOKUP($C133,KLO_Det!$C$17:$H$124,6,FALSE))</f>
        <v>0</v>
      </c>
      <c r="R133" s="21">
        <f>IF(ISNA(VLOOKUP($C133,Spare_Det!$C$17:$H$95,6,FALSE)),0,VLOOKUP($C133,Spare_Det!$C$17:$H$95,6,FALSE))</f>
        <v>0</v>
      </c>
      <c r="S133" s="21"/>
      <c r="T133" s="21"/>
      <c r="U133" s="21"/>
    </row>
    <row r="134" spans="2:22" x14ac:dyDescent="0.25">
      <c r="B134" s="392"/>
      <c r="C134" s="322"/>
      <c r="D134" s="93" t="s">
        <v>218</v>
      </c>
      <c r="E134" s="67">
        <f>SUM(I134:M134)</f>
        <v>8.8476372093023237</v>
      </c>
      <c r="F134" s="64" t="s">
        <v>85</v>
      </c>
      <c r="G134" s="65" t="s">
        <v>91</v>
      </c>
      <c r="H134" s="66" t="s">
        <v>90</v>
      </c>
      <c r="I134" s="67">
        <f>'Unit_Rates - $2015'!I78*1/Escalators!$G$12</f>
        <v>8.8476372093023237</v>
      </c>
      <c r="J134" s="67">
        <f>'Unit_Rates - $2015'!J78*1/Escalators!$G$12*Escalators!$G$32</f>
        <v>0</v>
      </c>
      <c r="K134" s="67">
        <f>'Unit_Rates - $2015'!K78*1/Escalators!$G$12*Escalators!$G$33</f>
        <v>0</v>
      </c>
      <c r="L134" s="67">
        <f>'Unit_Rates - $2015'!L78*1/Escalators!$G$12*Escalators!$G$33</f>
        <v>0</v>
      </c>
      <c r="M134" s="67">
        <f>'Unit_Rates - $2015'!M78*1/Escalators!$G$12</f>
        <v>0</v>
      </c>
      <c r="N134" s="63"/>
      <c r="O134" s="82"/>
      <c r="Q134" s="21">
        <f>IF(ISNA(VLOOKUP($C134,KLO_Det!$C$17:$H$124,6,FALSE)),0,VLOOKUP($C134,KLO_Det!$C$17:$H$124,6,FALSE))</f>
        <v>0</v>
      </c>
      <c r="R134" s="21">
        <f>IF(ISNA(VLOOKUP($C134,Spare_Det!$C$17:$H$95,6,FALSE)),0,VLOOKUP($C134,Spare_Det!$C$17:$H$95,6,FALSE))</f>
        <v>0</v>
      </c>
      <c r="S134" s="21"/>
      <c r="T134" s="21"/>
      <c r="U134" s="21"/>
    </row>
    <row r="135" spans="2:22" x14ac:dyDescent="0.25">
      <c r="B135" s="50"/>
    </row>
    <row r="136" spans="2:22" x14ac:dyDescent="0.25">
      <c r="B136" s="3" t="s">
        <v>219</v>
      </c>
      <c r="E136" s="94"/>
      <c r="F136" s="95"/>
      <c r="G136" s="96"/>
      <c r="H136" s="96"/>
      <c r="I136" s="94"/>
      <c r="J136" s="94"/>
      <c r="K136" s="95"/>
      <c r="L136" s="94"/>
    </row>
    <row r="137" spans="2:22" ht="14.45" customHeight="1" x14ac:dyDescent="0.25">
      <c r="C137" s="13"/>
      <c r="D137" s="13"/>
      <c r="E137" s="60" t="s">
        <v>101</v>
      </c>
      <c r="F137" s="13"/>
      <c r="G137" s="12"/>
      <c r="H137" s="12"/>
      <c r="I137" s="13"/>
      <c r="J137" s="76"/>
      <c r="K137" s="393" t="s">
        <v>21</v>
      </c>
      <c r="L137" s="393" t="s">
        <v>22</v>
      </c>
      <c r="M137" s="77"/>
      <c r="N137" s="78"/>
    </row>
    <row r="138" spans="2:22" x14ac:dyDescent="0.25">
      <c r="C138" s="61" t="s">
        <v>103</v>
      </c>
      <c r="D138" s="61" t="s">
        <v>104</v>
      </c>
      <c r="E138" s="62" t="s">
        <v>105</v>
      </c>
      <c r="F138" s="61" t="s">
        <v>106</v>
      </c>
      <c r="G138" s="61" t="s">
        <v>5</v>
      </c>
      <c r="H138" s="61" t="s">
        <v>18</v>
      </c>
      <c r="I138" s="61" t="s">
        <v>19</v>
      </c>
      <c r="J138" s="62" t="s">
        <v>66</v>
      </c>
      <c r="K138" s="393"/>
      <c r="L138" s="393"/>
      <c r="M138" s="80" t="s">
        <v>23</v>
      </c>
      <c r="N138" s="97"/>
    </row>
    <row r="139" spans="2:22" x14ac:dyDescent="0.25">
      <c r="C139" s="395" t="s">
        <v>220</v>
      </c>
      <c r="D139" s="98" t="s">
        <v>221</v>
      </c>
      <c r="E139" s="67">
        <f>SUM(I139:M139)</f>
        <v>2.6371173786538575</v>
      </c>
      <c r="F139" s="64" t="s">
        <v>85</v>
      </c>
      <c r="G139" s="65" t="s">
        <v>86</v>
      </c>
      <c r="H139" s="66" t="s">
        <v>26</v>
      </c>
      <c r="I139" s="67">
        <f>'Unit_Rates - $2015'!I83*1/Escalators!$G$12</f>
        <v>0.75700623405393375</v>
      </c>
      <c r="J139" s="67">
        <f>'Unit_Rates - $2015'!J83*1/Escalators!$G$12*Escalators!$G$32</f>
        <v>0.38862384690680363</v>
      </c>
      <c r="K139" s="67">
        <f>'Unit_Rates - $2015'!K83*1/Escalators!$G$12*Escalators!$G$33</f>
        <v>0</v>
      </c>
      <c r="L139" s="67">
        <f>'Unit_Rates - $2015'!L83*1/Escalators!$G$12*Escalators!$G$33</f>
        <v>1.4914872976931204</v>
      </c>
      <c r="M139" s="67">
        <f>'Unit_Rates - $2015'!M83*1/Escalators!$G$12</f>
        <v>0</v>
      </c>
      <c r="N139" s="63"/>
      <c r="O139" s="82"/>
      <c r="Q139" s="21">
        <f>IF(ISNA(VLOOKUP($C139,KLO_Det!$C$17:$H$124,6,FALSE)),0,VLOOKUP($C139,KLO_Det!$C$17:$H$124,6,FALSE))</f>
        <v>0</v>
      </c>
      <c r="R139" s="21">
        <f>IF(ISNA(VLOOKUP($C139,Spare_Det!$C$17:$H$95,6,FALSE)),0,VLOOKUP($C139,Spare_Det!$C$17:$H$95,6,FALSE))</f>
        <v>0</v>
      </c>
    </row>
    <row r="140" spans="2:22" x14ac:dyDescent="0.25">
      <c r="C140" s="396"/>
      <c r="D140" s="93" t="s">
        <v>222</v>
      </c>
      <c r="E140" s="67">
        <f t="shared" ref="E140:E142" si="1">SUM(I140:M140)</f>
        <v>1.3185586893269288</v>
      </c>
      <c r="F140" s="64" t="s">
        <v>85</v>
      </c>
      <c r="G140" s="65" t="s">
        <v>86</v>
      </c>
      <c r="H140" s="66" t="s">
        <v>26</v>
      </c>
      <c r="I140" s="67">
        <f>'Unit_Rates - $2015'!I84*1/Escalators!$G$12</f>
        <v>0.37850311702696687</v>
      </c>
      <c r="J140" s="67">
        <f>'Unit_Rates - $2015'!J84*1/Escalators!$G$12*Escalators!$G$32</f>
        <v>0.19431192345340181</v>
      </c>
      <c r="K140" s="67">
        <f>'Unit_Rates - $2015'!K84*1/Escalators!$G$12*Escalators!$G$33</f>
        <v>0</v>
      </c>
      <c r="L140" s="67">
        <f>'Unit_Rates - $2015'!L84*1/Escalators!$G$12*Escalators!$G$33</f>
        <v>0.74574364884656019</v>
      </c>
      <c r="M140" s="67">
        <f>'Unit_Rates - $2015'!M84*1/Escalators!$G$12</f>
        <v>0</v>
      </c>
      <c r="N140" s="63"/>
      <c r="O140" s="82"/>
      <c r="Q140" s="21">
        <f>IF(ISNA(VLOOKUP($C140,KLO_Det!$C$17:$H$124,6,FALSE)),0,VLOOKUP($C140,KLO_Det!$C$17:$H$124,6,FALSE))</f>
        <v>0</v>
      </c>
      <c r="R140" s="21">
        <f>IF(ISNA(VLOOKUP($C140,Spare_Det!$C$17:$H$95,6,FALSE)),0,VLOOKUP($C140,Spare_Det!$C$17:$H$95,6,FALSE))</f>
        <v>0</v>
      </c>
      <c r="S140" s="21"/>
      <c r="T140" s="21"/>
      <c r="U140" s="21"/>
    </row>
    <row r="141" spans="2:22" x14ac:dyDescent="0.25">
      <c r="C141" s="395" t="s">
        <v>223</v>
      </c>
      <c r="D141" s="63" t="s">
        <v>224</v>
      </c>
      <c r="E141" s="67">
        <f t="shared" si="1"/>
        <v>0.32009161450889179</v>
      </c>
      <c r="F141" s="64" t="s">
        <v>85</v>
      </c>
      <c r="G141" s="65" t="s">
        <v>86</v>
      </c>
      <c r="H141" s="66" t="s">
        <v>26</v>
      </c>
      <c r="I141" s="67">
        <f>'Unit_Rates - $2015'!I85*1/Escalators!$G$12</f>
        <v>0</v>
      </c>
      <c r="J141" s="67">
        <f>'Unit_Rates - $2015'!J85*1/Escalators!$G$12*Escalators!$G$32</f>
        <v>0.32009161450889179</v>
      </c>
      <c r="K141" s="67">
        <f>'Unit_Rates - $2015'!K85*1/Escalators!$G$12*Escalators!$G$33</f>
        <v>0</v>
      </c>
      <c r="L141" s="67">
        <f>'Unit_Rates - $2015'!L85*1/Escalators!$G$12*Escalators!$G$33</f>
        <v>0</v>
      </c>
      <c r="M141" s="67">
        <f>'Unit_Rates - $2015'!M85*1/Escalators!$G$12</f>
        <v>0</v>
      </c>
      <c r="N141" s="63"/>
      <c r="Q141" s="21">
        <f>IF(ISNA(VLOOKUP($C141,KLO_Det!$C$17:$H$124,6,FALSE)),0,VLOOKUP($C141,KLO_Det!$C$17:$H$124,6,FALSE))</f>
        <v>0</v>
      </c>
      <c r="R141" s="21">
        <f>IF(ISNA(VLOOKUP($C141,Spare_Det!$C$17:$H$95,6,FALSE)),0,VLOOKUP($C141,Spare_Det!$C$17:$H$95,6,FALSE))</f>
        <v>0</v>
      </c>
      <c r="S141" s="21"/>
      <c r="T141" s="21"/>
      <c r="U141" s="21"/>
    </row>
    <row r="142" spans="2:22" x14ac:dyDescent="0.25">
      <c r="C142" s="397"/>
      <c r="D142" s="63" t="s">
        <v>225</v>
      </c>
      <c r="E142" s="67">
        <f t="shared" si="1"/>
        <v>10.669720483629726</v>
      </c>
      <c r="F142" s="64" t="s">
        <v>85</v>
      </c>
      <c r="G142" s="65" t="s">
        <v>86</v>
      </c>
      <c r="H142" s="66" t="s">
        <v>26</v>
      </c>
      <c r="I142" s="67">
        <f>'Unit_Rates - $2015'!I86*1/Escalators!$G$12</f>
        <v>0</v>
      </c>
      <c r="J142" s="67">
        <f>'Unit_Rates - $2015'!J86*1/Escalators!$G$12*Escalators!$G$32</f>
        <v>10.669720483629726</v>
      </c>
      <c r="K142" s="67">
        <f>'Unit_Rates - $2015'!K86*1/Escalators!$G$12*Escalators!$G$33</f>
        <v>0</v>
      </c>
      <c r="L142" s="67">
        <f>'Unit_Rates - $2015'!L86*1/Escalators!$G$12*Escalators!$G$33</f>
        <v>0</v>
      </c>
      <c r="M142" s="67">
        <f>'Unit_Rates - $2015'!M86*1/Escalators!$G$12</f>
        <v>0</v>
      </c>
      <c r="N142" s="63"/>
      <c r="Q142" s="21">
        <f>IF(ISNA(VLOOKUP($C142,KLO_Det!$C$17:$H$124,6,FALSE)),0,VLOOKUP($C142,KLO_Det!$C$17:$H$124,6,FALSE))</f>
        <v>0</v>
      </c>
      <c r="R142" s="21">
        <f>IF(ISNA(VLOOKUP($C142,Spare_Det!$C$17:$H$95,6,FALSE)),0,VLOOKUP($C142,Spare_Det!$C$17:$H$95,6,FALSE))</f>
        <v>0</v>
      </c>
      <c r="S142" s="21"/>
      <c r="T142" s="21"/>
      <c r="U142" s="21"/>
    </row>
    <row r="143" spans="2:22" x14ac:dyDescent="0.25">
      <c r="C143" s="397"/>
      <c r="D143" s="63" t="s">
        <v>226</v>
      </c>
      <c r="E143" s="67">
        <f>SUM(I143:M143)</f>
        <v>22.590738887672497</v>
      </c>
      <c r="F143" s="64" t="s">
        <v>85</v>
      </c>
      <c r="G143" s="65" t="s">
        <v>86</v>
      </c>
      <c r="H143" s="66" t="s">
        <v>26</v>
      </c>
      <c r="I143" s="67">
        <f>'Unit_Rates - $2015'!I87*1/Escalators!$G$12</f>
        <v>5.2025782688766116</v>
      </c>
      <c r="J143" s="67">
        <f>'Unit_Rates - $2015'!J87*1/Escalators!$G$12*Escalators!$G$32</f>
        <v>0</v>
      </c>
      <c r="K143" s="67">
        <f>'Unit_Rates - $2015'!K87*1/Escalators!$G$12*Escalators!$G$33</f>
        <v>0</v>
      </c>
      <c r="L143" s="67">
        <f>'Unit_Rates - $2015'!L87*1/Escalators!$G$12*Escalators!$G$33</f>
        <v>17.388160618795887</v>
      </c>
      <c r="M143" s="67">
        <f>'Unit_Rates - $2015'!M87*1/Escalators!$G$12</f>
        <v>0</v>
      </c>
      <c r="N143" s="63"/>
      <c r="Q143" s="21">
        <f>IF(ISNA(VLOOKUP($C143,KLO_Det!$C$17:$H$124,6,FALSE)),0,VLOOKUP($C143,KLO_Det!$C$17:$H$124,6,FALSE))</f>
        <v>0</v>
      </c>
      <c r="R143" s="21">
        <f>IF(ISNA(VLOOKUP($C143,Spare_Det!$C$17:$H$95,6,FALSE)),0,VLOOKUP($C143,Spare_Det!$C$17:$H$95,6,FALSE))</f>
        <v>0</v>
      </c>
      <c r="S143" s="21"/>
      <c r="T143" s="21"/>
      <c r="U143" s="21"/>
    </row>
    <row r="144" spans="2:22" x14ac:dyDescent="0.25">
      <c r="C144" s="396"/>
      <c r="D144" s="63" t="s">
        <v>227</v>
      </c>
      <c r="E144" s="67">
        <f>SUM(I144:M144)</f>
        <v>0.54999999999999993</v>
      </c>
      <c r="F144" s="64" t="s">
        <v>85</v>
      </c>
      <c r="G144" s="65" t="s">
        <v>86</v>
      </c>
      <c r="H144" s="66" t="s">
        <v>26</v>
      </c>
      <c r="I144" s="72">
        <f>'Unit_Rates - $2015'!I88*1/Escalators!$G$12</f>
        <v>4.9999999999999996E-2</v>
      </c>
      <c r="J144" s="72">
        <f>'Unit_Rates - $2015'!J88*1/Escalators!$G$12*Escalators!$G$32</f>
        <v>0</v>
      </c>
      <c r="K144" s="72">
        <f>'Unit_Rates - $2015'!K88*1/Escalators!$G$12*Escalators!$G$33</f>
        <v>0</v>
      </c>
      <c r="L144" s="72">
        <f>'Unit_Rates - $2015'!L88*1/Escalators!$G$12*Escalators!$G$33</f>
        <v>0.49999999999999989</v>
      </c>
      <c r="M144" s="67">
        <f>'Unit_Rates - $2015'!M88*1/Escalators!$G$12</f>
        <v>0</v>
      </c>
      <c r="N144" s="63" t="s">
        <v>228</v>
      </c>
      <c r="Q144" s="21">
        <f>IF(ISNA(VLOOKUP($C144,KLO_Det!$C$17:$H$124,6,FALSE)),0,VLOOKUP($C144,KLO_Det!$C$17:$H$124,6,FALSE))</f>
        <v>0</v>
      </c>
      <c r="R144" s="21">
        <f>IF(ISNA(VLOOKUP($C144,Spare_Det!$C$17:$H$95,6,FALSE)),0,VLOOKUP($C144,Spare_Det!$C$17:$H$95,6,FALSE))</f>
        <v>0</v>
      </c>
      <c r="S144" s="21"/>
      <c r="T144" s="21"/>
      <c r="U144" s="21"/>
    </row>
    <row r="145" spans="2:21" x14ac:dyDescent="0.25">
      <c r="C145" s="303" t="s">
        <v>23</v>
      </c>
      <c r="D145" s="63" t="s">
        <v>229</v>
      </c>
      <c r="E145" s="67">
        <f>SUM(I145:M145)</f>
        <v>70.806973791441067</v>
      </c>
      <c r="F145" s="64" t="s">
        <v>85</v>
      </c>
      <c r="G145" s="65" t="s">
        <v>86</v>
      </c>
      <c r="H145" s="66" t="s">
        <v>25</v>
      </c>
      <c r="I145" s="67">
        <f>'Unit_Rates - $2015'!I89*1/Escalators!$G$12</f>
        <v>31.215469613259668</v>
      </c>
      <c r="J145" s="67">
        <f>'Unit_Rates - $2015'!J89*1/Escalators!$G$12*Escalators!$G$32</f>
        <v>0</v>
      </c>
      <c r="K145" s="67">
        <f>'Unit_Rates - $2015'!K89*1/Escalators!$G$12*Escalators!$G$33</f>
        <v>0</v>
      </c>
      <c r="L145" s="67">
        <f>'Unit_Rates - $2015'!L89*1/Escalators!$G$12*Escalators!$G$33</f>
        <v>39.591504178181403</v>
      </c>
      <c r="M145" s="67">
        <f>'Unit_Rates - $2015'!M89*1/Escalators!$G$12</f>
        <v>0</v>
      </c>
      <c r="N145" s="63"/>
      <c r="Q145" s="21">
        <f>IF(ISNA(VLOOKUP($C145,KLO_Det!$C$17:$H$124,6,FALSE)),0,VLOOKUP($C145,KLO_Det!$C$17:$H$124,6,FALSE))</f>
        <v>0</v>
      </c>
      <c r="R145" s="21">
        <f>IF(ISNA(VLOOKUP($C145,Spare_Det!$C$17:$H$95,6,FALSE)),0,VLOOKUP($C145,Spare_Det!$C$17:$H$95,6,FALSE))</f>
        <v>0</v>
      </c>
      <c r="S145" s="21"/>
      <c r="T145" s="21"/>
      <c r="U145" s="21"/>
    </row>
    <row r="147" spans="2:21" x14ac:dyDescent="0.25">
      <c r="B147" s="3" t="s">
        <v>230</v>
      </c>
    </row>
    <row r="148" spans="2:21" ht="14.45" customHeight="1" x14ac:dyDescent="0.25">
      <c r="C148" s="13"/>
      <c r="D148" s="13"/>
      <c r="E148" s="60" t="s">
        <v>101</v>
      </c>
      <c r="F148" s="13"/>
      <c r="G148" s="12"/>
      <c r="H148" s="12"/>
      <c r="I148" s="13"/>
      <c r="J148" s="76"/>
      <c r="K148" s="393" t="s">
        <v>21</v>
      </c>
      <c r="L148" s="393" t="s">
        <v>22</v>
      </c>
      <c r="M148" s="77"/>
      <c r="N148" s="78"/>
    </row>
    <row r="149" spans="2:21" x14ac:dyDescent="0.25">
      <c r="C149" s="61" t="s">
        <v>103</v>
      </c>
      <c r="D149" s="61" t="s">
        <v>104</v>
      </c>
      <c r="E149" s="62" t="s">
        <v>105</v>
      </c>
      <c r="F149" s="61" t="s">
        <v>106</v>
      </c>
      <c r="G149" s="61" t="s">
        <v>5</v>
      </c>
      <c r="H149" s="61" t="s">
        <v>18</v>
      </c>
      <c r="I149" s="61" t="s">
        <v>19</v>
      </c>
      <c r="J149" s="62" t="s">
        <v>66</v>
      </c>
      <c r="K149" s="393"/>
      <c r="L149" s="393"/>
      <c r="M149" s="80" t="s">
        <v>23</v>
      </c>
      <c r="N149" s="97"/>
    </row>
    <row r="150" spans="2:21" x14ac:dyDescent="0.25">
      <c r="C150" s="63" t="s">
        <v>231</v>
      </c>
      <c r="D150" s="63" t="s">
        <v>232</v>
      </c>
      <c r="E150" s="67">
        <f>SUM(I150:M150)</f>
        <v>55.161136538461506</v>
      </c>
      <c r="F150" s="64" t="s">
        <v>85</v>
      </c>
      <c r="G150" s="65" t="s">
        <v>86</v>
      </c>
      <c r="H150" s="66" t="s">
        <v>26</v>
      </c>
      <c r="I150" s="67">
        <f>'Unit_Rates - $2015'!I94*1/Escalators!$G$12</f>
        <v>14.999999999999996</v>
      </c>
      <c r="J150" s="67">
        <f>'Unit_Rates - $2015'!J94*1/Escalators!$G$12*Escalators!$G$32</f>
        <v>2.4999999999999991</v>
      </c>
      <c r="K150" s="67">
        <f>'Unit_Rates - $2015'!K94*1/Escalators!$G$12*Escalators!$G$33</f>
        <v>4.799999999999998</v>
      </c>
      <c r="L150" s="67">
        <f>'Unit_Rates - $2015'!L94*1/Escalators!$G$12*Escalators!$G$33</f>
        <v>32.861136538461515</v>
      </c>
      <c r="M150" s="67">
        <f>'Unit_Rates - $2015'!M94*1/Escalators!$G$12</f>
        <v>0</v>
      </c>
      <c r="N150" s="63"/>
      <c r="Q150" s="21">
        <f>IF(ISNA(VLOOKUP($C150,KLO_Det!$C$17:$H$124,6,FALSE)),0,VLOOKUP($C150,KLO_Det!$C$17:$H$124,6,FALSE))</f>
        <v>0</v>
      </c>
      <c r="R150" s="21">
        <f>IF(ISNA(VLOOKUP($C150,Spare_Det!$C$17:$H$95,6,FALSE)),0,VLOOKUP($C150,Spare_Det!$C$17:$H$95,6,FALSE))</f>
        <v>0</v>
      </c>
      <c r="S150" s="21"/>
      <c r="T150" s="21"/>
      <c r="U150" s="21"/>
    </row>
    <row r="151" spans="2:21" x14ac:dyDescent="0.25">
      <c r="C151" s="63" t="s">
        <v>233</v>
      </c>
      <c r="D151" s="63" t="s">
        <v>234</v>
      </c>
      <c r="E151" s="67">
        <f t="shared" ref="E151:E154" si="2">SUM(I151:M151)</f>
        <v>67.516971373692428</v>
      </c>
      <c r="F151" s="64" t="s">
        <v>85</v>
      </c>
      <c r="G151" s="65" t="s">
        <v>86</v>
      </c>
      <c r="H151" s="66" t="s">
        <v>26</v>
      </c>
      <c r="I151" s="67">
        <f>'Unit_Rates - $2015'!I95*1/Escalators!$G$12</f>
        <v>22.603922249219018</v>
      </c>
      <c r="J151" s="67">
        <f>'Unit_Rates - $2015'!J95*1/Escalators!$G$12*Escalators!$G$32</f>
        <v>7.4989765748407473</v>
      </c>
      <c r="K151" s="67">
        <f>'Unit_Rates - $2015'!K95*1/Escalators!$G$12*Escalators!$G$33</f>
        <v>4.7858004636387212</v>
      </c>
      <c r="L151" s="67">
        <f>'Unit_Rates - $2015'!L95*1/Escalators!$G$12*Escalators!$G$33</f>
        <v>25.980059659753056</v>
      </c>
      <c r="M151" s="67">
        <f>'Unit_Rates - $2015'!M95*1/Escalators!$G$12</f>
        <v>6.6482124262408862</v>
      </c>
      <c r="N151" s="63"/>
      <c r="Q151" s="21">
        <f>IF(ISNA(VLOOKUP($C151,KLO_Det!$C$17:$H$124,6,FALSE)),0,VLOOKUP($C151,KLO_Det!$C$17:$H$124,6,FALSE))</f>
        <v>0</v>
      </c>
      <c r="R151" s="21">
        <f>IF(ISNA(VLOOKUP($C151,Spare_Det!$C$17:$H$95,6,FALSE)),0,VLOOKUP($C151,Spare_Det!$C$17:$H$95,6,FALSE))</f>
        <v>0</v>
      </c>
      <c r="S151" s="21"/>
      <c r="T151" s="21"/>
      <c r="U151" s="21"/>
    </row>
    <row r="152" spans="2:21" x14ac:dyDescent="0.25">
      <c r="B152" s="308" t="s">
        <v>452</v>
      </c>
      <c r="C152" s="252" t="s">
        <v>373</v>
      </c>
      <c r="D152" s="252" t="s">
        <v>373</v>
      </c>
      <c r="E152" s="67">
        <f t="shared" si="2"/>
        <v>122.67810791215393</v>
      </c>
      <c r="F152" s="64" t="s">
        <v>85</v>
      </c>
      <c r="G152" s="65" t="s">
        <v>86</v>
      </c>
      <c r="H152" s="328" t="s">
        <v>25</v>
      </c>
      <c r="I152" s="67">
        <f t="shared" ref="I152:N152" si="3">I150+I151</f>
        <v>37.603922249219011</v>
      </c>
      <c r="J152" s="67">
        <f t="shared" si="3"/>
        <v>9.9989765748407464</v>
      </c>
      <c r="K152" s="67">
        <f t="shared" si="3"/>
        <v>9.5858004636387193</v>
      </c>
      <c r="L152" s="67">
        <f t="shared" si="3"/>
        <v>58.841196198214575</v>
      </c>
      <c r="M152" s="67">
        <f t="shared" si="3"/>
        <v>6.6482124262408862</v>
      </c>
      <c r="N152" s="67">
        <f t="shared" si="3"/>
        <v>0</v>
      </c>
      <c r="Q152" s="21">
        <f>IF(ISNA(VLOOKUP($C152,KLO_Det!$C$17:$H$124,6,FALSE)),0,VLOOKUP($C152,KLO_Det!$C$17:$H$124,6,FALSE))</f>
        <v>8</v>
      </c>
      <c r="R152" s="21">
        <f>IF(ISNA(VLOOKUP($C152,Spare_Det!$C$17:$H$95,6,FALSE)),0,VLOOKUP($C152,Spare_Det!$C$17:$H$95,6,FALSE))</f>
        <v>0</v>
      </c>
      <c r="S152" s="21"/>
      <c r="T152" s="21"/>
      <c r="U152" s="21"/>
    </row>
    <row r="153" spans="2:21" x14ac:dyDescent="0.25">
      <c r="C153" s="63" t="s">
        <v>235</v>
      </c>
      <c r="D153" s="63" t="s">
        <v>236</v>
      </c>
      <c r="E153" s="67">
        <f t="shared" si="2"/>
        <v>50.28206311487223</v>
      </c>
      <c r="F153" s="64" t="s">
        <v>85</v>
      </c>
      <c r="G153" s="65" t="s">
        <v>86</v>
      </c>
      <c r="H153" s="66" t="s">
        <v>26</v>
      </c>
      <c r="I153" s="67">
        <f>'Unit_Rates - $2015'!I96*1/Escalators!$G$12</f>
        <v>15.156015503875969</v>
      </c>
      <c r="J153" s="67">
        <f>'Unit_Rates - $2015'!J96*1/Escalators!$G$12*Escalators!$G$32</f>
        <v>23.710478907916404</v>
      </c>
      <c r="K153" s="67">
        <f>'Unit_Rates - $2015'!K96*1/Escalators!$G$12*Escalators!$G$33</f>
        <v>0</v>
      </c>
      <c r="L153" s="67">
        <f>'Unit_Rates - $2015'!L96*1/Escalators!$G$12*Escalators!$G$33</f>
        <v>11.415568703079856</v>
      </c>
      <c r="M153" s="67">
        <f>'Unit_Rates - $2015'!M96*1/Escalators!$G$12</f>
        <v>0</v>
      </c>
      <c r="N153" s="63"/>
      <c r="Q153" s="21">
        <f>IF(ISNA(VLOOKUP($C153,KLO_Det!$C$17:$H$124,6,FALSE)),0,VLOOKUP($C153,KLO_Det!$C$17:$H$124,6,FALSE))</f>
        <v>0</v>
      </c>
      <c r="R153" s="21">
        <f>IF(ISNA(VLOOKUP($C153,Spare_Det!$C$17:$H$95,6,FALSE)),0,VLOOKUP($C153,Spare_Det!$C$17:$H$95,6,FALSE))</f>
        <v>0</v>
      </c>
      <c r="S153" s="21"/>
      <c r="T153" s="21"/>
      <c r="U153" s="21"/>
    </row>
    <row r="154" spans="2:21" x14ac:dyDescent="0.25">
      <c r="C154" s="63" t="s">
        <v>237</v>
      </c>
      <c r="D154" s="63" t="s">
        <v>238</v>
      </c>
      <c r="E154" s="67">
        <f t="shared" si="2"/>
        <v>361.88316519214766</v>
      </c>
      <c r="F154" s="64" t="s">
        <v>85</v>
      </c>
      <c r="G154" s="65" t="s">
        <v>86</v>
      </c>
      <c r="H154" s="66" t="s">
        <v>26</v>
      </c>
      <c r="I154" s="67">
        <f>'Unit_Rates - $2015'!I97*1/Escalators!$G$12</f>
        <v>193.23046251162791</v>
      </c>
      <c r="J154" s="67">
        <f>'Unit_Rates - $2015'!J97*1/Escalators!$G$12*Escalators!$G$32</f>
        <v>36.775582408617282</v>
      </c>
      <c r="K154" s="67">
        <f>'Unit_Rates - $2015'!K97*1/Escalators!$G$12*Escalators!$G$33</f>
        <v>0</v>
      </c>
      <c r="L154" s="67">
        <f>'Unit_Rates - $2015'!L97*1/Escalators!$G$12*Escalators!$G$33</f>
        <v>131.87712027190247</v>
      </c>
      <c r="M154" s="67">
        <f>'Unit_Rates - $2015'!M97*1/Escalators!$G$12</f>
        <v>0</v>
      </c>
      <c r="N154" s="63"/>
      <c r="Q154" s="21">
        <f>IF(ISNA(VLOOKUP($C154,KLO_Det!$C$17:$H$124,6,FALSE)),0,VLOOKUP($C154,KLO_Det!$C$17:$H$124,6,FALSE))</f>
        <v>0</v>
      </c>
      <c r="R154" s="21">
        <f>IF(ISNA(VLOOKUP($C154,Spare_Det!$C$17:$H$95,6,FALSE)),0,VLOOKUP($C154,Spare_Det!$C$17:$H$95,6,FALSE))</f>
        <v>0</v>
      </c>
      <c r="S154" s="21"/>
      <c r="T154" s="21"/>
      <c r="U154" s="21"/>
    </row>
    <row r="155" spans="2:21" x14ac:dyDescent="0.25">
      <c r="F155" s="100"/>
    </row>
    <row r="157" spans="2:21" x14ac:dyDescent="0.25">
      <c r="B157" s="3" t="s">
        <v>239</v>
      </c>
      <c r="E157" s="23"/>
      <c r="I157" s="101"/>
    </row>
    <row r="158" spans="2:21" ht="14.45" customHeight="1" x14ac:dyDescent="0.25">
      <c r="C158" s="13"/>
      <c r="D158" s="13"/>
      <c r="E158" s="60" t="s">
        <v>101</v>
      </c>
      <c r="F158" s="13"/>
      <c r="G158" s="12"/>
      <c r="H158" s="12"/>
      <c r="I158" s="13"/>
      <c r="J158" s="76"/>
      <c r="K158" s="393" t="s">
        <v>21</v>
      </c>
      <c r="L158" s="393" t="s">
        <v>22</v>
      </c>
      <c r="M158" s="77"/>
      <c r="N158" s="78"/>
    </row>
    <row r="159" spans="2:21" x14ac:dyDescent="0.25">
      <c r="C159" s="61" t="s">
        <v>103</v>
      </c>
      <c r="D159" s="61" t="s">
        <v>104</v>
      </c>
      <c r="E159" s="62" t="s">
        <v>105</v>
      </c>
      <c r="F159" s="61" t="s">
        <v>106</v>
      </c>
      <c r="G159" s="61" t="s">
        <v>5</v>
      </c>
      <c r="H159" s="61" t="s">
        <v>18</v>
      </c>
      <c r="I159" s="61" t="s">
        <v>19</v>
      </c>
      <c r="J159" s="62" t="s">
        <v>66</v>
      </c>
      <c r="K159" s="393"/>
      <c r="L159" s="393"/>
      <c r="M159" s="80" t="s">
        <v>23</v>
      </c>
      <c r="N159" s="97"/>
    </row>
    <row r="160" spans="2:21" ht="30" x14ac:dyDescent="0.25">
      <c r="C160" s="403" t="s">
        <v>240</v>
      </c>
      <c r="D160" s="84" t="s">
        <v>241</v>
      </c>
      <c r="E160" s="92">
        <f>SUM(I160:M160)</f>
        <v>0</v>
      </c>
      <c r="F160" s="86" t="s">
        <v>85</v>
      </c>
      <c r="G160" s="87" t="s">
        <v>86</v>
      </c>
      <c r="H160" s="90" t="s">
        <v>25</v>
      </c>
      <c r="I160" s="102"/>
      <c r="J160" s="102"/>
      <c r="K160" s="102"/>
      <c r="L160" s="102"/>
      <c r="M160" s="102"/>
      <c r="N160" s="63" t="s">
        <v>242</v>
      </c>
      <c r="Q160" s="21">
        <f>IF(ISNA(VLOOKUP($C160,KLO_Det!$C$17:$H$124,6,FALSE)),0,VLOOKUP($C160,KLO_Det!$C$17:$H$124,6,FALSE))</f>
        <v>0</v>
      </c>
      <c r="R160" s="21">
        <f>IF(ISNA(VLOOKUP($C160,Spare_Det!$C$17:$H$95,6,FALSE)),0,VLOOKUP($C160,Spare_Det!$C$17:$H$95,6,FALSE))</f>
        <v>0</v>
      </c>
      <c r="S160" s="21"/>
      <c r="T160" s="21"/>
      <c r="U160" s="21"/>
    </row>
    <row r="161" spans="2:22" x14ac:dyDescent="0.25">
      <c r="C161" s="403"/>
      <c r="D161" s="84" t="s">
        <v>243</v>
      </c>
      <c r="E161" s="92">
        <f t="shared" ref="E161:E163" si="4">SUM(I161:M161)</f>
        <v>0</v>
      </c>
      <c r="F161" s="86" t="s">
        <v>85</v>
      </c>
      <c r="G161" s="87" t="s">
        <v>86</v>
      </c>
      <c r="H161" s="90" t="s">
        <v>25</v>
      </c>
      <c r="I161" s="102"/>
      <c r="J161" s="102"/>
      <c r="K161" s="102"/>
      <c r="L161" s="102"/>
      <c r="M161" s="102"/>
      <c r="N161" s="63" t="s">
        <v>242</v>
      </c>
      <c r="Q161" s="21">
        <f>IF(ISNA(VLOOKUP($C161,KLO_Det!$C$17:$H$124,6,FALSE)),0,VLOOKUP($C161,KLO_Det!$C$17:$H$124,6,FALSE))</f>
        <v>0</v>
      </c>
      <c r="R161" s="21">
        <f>IF(ISNA(VLOOKUP($C161,Spare_Det!$C$17:$H$95,6,FALSE)),0,VLOOKUP($C161,Spare_Det!$C$17:$H$95,6,FALSE))</f>
        <v>0</v>
      </c>
      <c r="S161" s="21"/>
      <c r="T161" s="21"/>
      <c r="U161" s="21"/>
    </row>
    <row r="162" spans="2:22" x14ac:dyDescent="0.25">
      <c r="C162" s="403"/>
      <c r="D162" s="84" t="s">
        <v>244</v>
      </c>
      <c r="E162" s="92">
        <f t="shared" si="4"/>
        <v>0</v>
      </c>
      <c r="F162" s="86" t="s">
        <v>85</v>
      </c>
      <c r="G162" s="87" t="s">
        <v>86</v>
      </c>
      <c r="H162" s="90" t="s">
        <v>25</v>
      </c>
      <c r="I162" s="102"/>
      <c r="J162" s="102"/>
      <c r="K162" s="102"/>
      <c r="L162" s="102"/>
      <c r="M162" s="102"/>
      <c r="N162" s="63" t="s">
        <v>242</v>
      </c>
      <c r="Q162" s="21">
        <f>IF(ISNA(VLOOKUP($C162,KLO_Det!$C$17:$H$124,6,FALSE)),0,VLOOKUP($C162,KLO_Det!$C$17:$H$124,6,FALSE))</f>
        <v>0</v>
      </c>
      <c r="R162" s="21">
        <f>IF(ISNA(VLOOKUP($C162,Spare_Det!$C$17:$H$95,6,FALSE)),0,VLOOKUP($C162,Spare_Det!$C$17:$H$95,6,FALSE))</f>
        <v>0</v>
      </c>
      <c r="S162" s="21"/>
      <c r="T162" s="21"/>
      <c r="U162" s="21"/>
    </row>
    <row r="163" spans="2:22" x14ac:dyDescent="0.25">
      <c r="C163" s="403"/>
      <c r="D163" s="84" t="s">
        <v>245</v>
      </c>
      <c r="E163" s="92">
        <f t="shared" si="4"/>
        <v>96.251151101210851</v>
      </c>
      <c r="F163" s="86" t="s">
        <v>85</v>
      </c>
      <c r="G163" s="87" t="s">
        <v>86</v>
      </c>
      <c r="H163" s="90" t="s">
        <v>26</v>
      </c>
      <c r="I163" s="92">
        <f>'Unit_Rates - $2015'!I106*1/Escalators!$G$12</f>
        <v>32.740161372023131</v>
      </c>
      <c r="J163" s="92">
        <f>'Unit_Rates - $2015'!J106*1/Escalators!$G$12*Escalators!$G$32</f>
        <v>10.58516495486462</v>
      </c>
      <c r="K163" s="92">
        <f>'Unit_Rates - $2015'!K106*1/Escalators!$G$12*Escalators!$G$33</f>
        <v>6.7695822385762128</v>
      </c>
      <c r="L163" s="92">
        <f>'Unit_Rates - $2015'!L106*1/Escalators!$G$12*Escalators!$G$33</f>
        <v>36.555744088311528</v>
      </c>
      <c r="M163" s="92">
        <f>'Unit_Rates - $2015'!M106*1/Escalators!$G$12</f>
        <v>9.6004984474353545</v>
      </c>
      <c r="N163" s="103"/>
      <c r="Q163" s="21">
        <f>IF(ISNA(VLOOKUP($C163,KLO_Det!$C$17:$H$124,6,FALSE)),0,VLOOKUP($C163,KLO_Det!$C$17:$H$124,6,FALSE))</f>
        <v>0</v>
      </c>
      <c r="R163" s="21">
        <f>IF(ISNA(VLOOKUP($C163,Spare_Det!$C$17:$H$95,6,FALSE)),0,VLOOKUP($C163,Spare_Det!$C$17:$H$95,6,FALSE))</f>
        <v>0</v>
      </c>
      <c r="S163" s="21"/>
      <c r="T163" s="21"/>
      <c r="U163" s="21"/>
      <c r="V163" t="s">
        <v>246</v>
      </c>
    </row>
    <row r="164" spans="2:22" x14ac:dyDescent="0.25">
      <c r="I164" s="20"/>
      <c r="J164" s="20"/>
      <c r="K164" s="20"/>
      <c r="L164" s="20"/>
      <c r="M164" s="20"/>
    </row>
    <row r="165" spans="2:22" ht="14.45" customHeight="1" x14ac:dyDescent="0.25">
      <c r="B165" s="3" t="s">
        <v>247</v>
      </c>
    </row>
    <row r="166" spans="2:22" ht="14.45" customHeight="1" x14ac:dyDescent="0.25">
      <c r="C166" s="13"/>
      <c r="D166" s="13"/>
      <c r="E166" s="60" t="s">
        <v>101</v>
      </c>
      <c r="F166" s="13"/>
      <c r="G166" s="12"/>
      <c r="H166" s="12"/>
      <c r="I166" s="13"/>
      <c r="J166" s="76"/>
      <c r="K166" s="393" t="s">
        <v>21</v>
      </c>
      <c r="L166" s="393" t="s">
        <v>22</v>
      </c>
      <c r="M166" s="77"/>
      <c r="N166" s="78"/>
    </row>
    <row r="167" spans="2:22" x14ac:dyDescent="0.25">
      <c r="C167" s="61" t="s">
        <v>103</v>
      </c>
      <c r="D167" s="61" t="s">
        <v>104</v>
      </c>
      <c r="E167" s="62" t="s">
        <v>105</v>
      </c>
      <c r="F167" s="61" t="s">
        <v>106</v>
      </c>
      <c r="G167" s="61" t="s">
        <v>5</v>
      </c>
      <c r="H167" s="61" t="s">
        <v>18</v>
      </c>
      <c r="I167" s="61" t="s">
        <v>19</v>
      </c>
      <c r="J167" s="62" t="s">
        <v>66</v>
      </c>
      <c r="K167" s="393"/>
      <c r="L167" s="393"/>
      <c r="M167" s="80" t="s">
        <v>23</v>
      </c>
      <c r="N167" s="97"/>
    </row>
    <row r="168" spans="2:22" x14ac:dyDescent="0.25">
      <c r="C168" s="403" t="s">
        <v>248</v>
      </c>
      <c r="D168" s="63" t="s">
        <v>249</v>
      </c>
      <c r="E168" s="373"/>
      <c r="F168" s="64" t="s">
        <v>85</v>
      </c>
      <c r="G168" s="65" t="s">
        <v>86</v>
      </c>
      <c r="H168" s="66" t="s">
        <v>26</v>
      </c>
      <c r="I168" s="370"/>
      <c r="J168" s="370"/>
      <c r="K168" s="370"/>
      <c r="L168" s="370"/>
      <c r="M168" s="370"/>
      <c r="N168" s="63"/>
      <c r="Q168" s="21">
        <f>IF(ISNA(VLOOKUP($C168,KLO_Det!$C$17:$H$124,6,FALSE)),0,VLOOKUP($C168,KLO_Det!$C$17:$H$124,6,FALSE))</f>
        <v>0</v>
      </c>
      <c r="R168" s="21">
        <f>IF(ISNA(VLOOKUP($C168,Spare_Det!$C$17:$H$95,6,FALSE)),0,VLOOKUP($C168,Spare_Det!$C$17:$H$95,6,FALSE))</f>
        <v>0</v>
      </c>
    </row>
    <row r="169" spans="2:22" x14ac:dyDescent="0.25">
      <c r="C169" s="403"/>
      <c r="D169" s="104" t="s">
        <v>250</v>
      </c>
      <c r="E169" s="373"/>
      <c r="F169" s="64" t="s">
        <v>85</v>
      </c>
      <c r="G169" s="65" t="s">
        <v>2</v>
      </c>
      <c r="H169" s="66" t="s">
        <v>26</v>
      </c>
      <c r="I169" s="370"/>
      <c r="J169" s="370"/>
      <c r="K169" s="370"/>
      <c r="L169" s="370"/>
      <c r="M169" s="370"/>
      <c r="N169" s="63"/>
      <c r="Q169" s="21">
        <f>IF(ISNA(VLOOKUP($C169,KLO_Det!$C$17:$H$124,6,FALSE)),0,VLOOKUP($C169,KLO_Det!$C$17:$H$124,6,FALSE))</f>
        <v>0</v>
      </c>
      <c r="R169" s="21">
        <f>IF(ISNA(VLOOKUP($C169,Spare_Det!$C$17:$H$95,6,FALSE)),0,VLOOKUP($C169,Spare_Det!$C$17:$H$95,6,FALSE))</f>
        <v>0</v>
      </c>
    </row>
    <row r="170" spans="2:22" x14ac:dyDescent="0.25">
      <c r="C170" s="403"/>
      <c r="D170" s="105" t="s">
        <v>251</v>
      </c>
      <c r="E170" s="373"/>
      <c r="F170" s="64" t="s">
        <v>85</v>
      </c>
      <c r="G170" s="65" t="s">
        <v>86</v>
      </c>
      <c r="H170" s="66" t="s">
        <v>26</v>
      </c>
      <c r="I170" s="370"/>
      <c r="J170" s="370"/>
      <c r="K170" s="370"/>
      <c r="L170" s="370"/>
      <c r="M170" s="370"/>
      <c r="N170" s="63"/>
      <c r="Q170" s="21">
        <f>IF(ISNA(VLOOKUP($C170,KLO_Det!$C$17:$H$124,6,FALSE)),0,VLOOKUP($C170,KLO_Det!$C$17:$H$124,6,FALSE))</f>
        <v>0</v>
      </c>
      <c r="R170" s="21">
        <f>IF(ISNA(VLOOKUP($C170,Spare_Det!$C$17:$H$95,6,FALSE)),0,VLOOKUP($C170,Spare_Det!$C$17:$H$95,6,FALSE))</f>
        <v>0</v>
      </c>
    </row>
    <row r="171" spans="2:22" x14ac:dyDescent="0.25">
      <c r="E171" s="373"/>
      <c r="I171" s="373"/>
      <c r="J171" s="373"/>
      <c r="K171" s="373"/>
      <c r="L171" s="373"/>
      <c r="M171" s="373"/>
      <c r="Q171" s="21"/>
      <c r="R171" s="21"/>
    </row>
    <row r="172" spans="2:22" x14ac:dyDescent="0.25">
      <c r="B172" s="3" t="s">
        <v>252</v>
      </c>
    </row>
    <row r="173" spans="2:22" ht="14.45" customHeight="1" x14ac:dyDescent="0.25">
      <c r="C173" s="13"/>
      <c r="D173" s="13"/>
      <c r="E173" s="60" t="s">
        <v>101</v>
      </c>
      <c r="F173" s="13"/>
      <c r="G173" s="12"/>
      <c r="H173" s="12"/>
      <c r="I173" s="13"/>
      <c r="J173" s="76"/>
      <c r="K173" s="393" t="s">
        <v>21</v>
      </c>
      <c r="L173" s="393" t="s">
        <v>22</v>
      </c>
      <c r="M173" s="77"/>
      <c r="N173" s="78"/>
    </row>
    <row r="174" spans="2:22" x14ac:dyDescent="0.25">
      <c r="C174" s="61" t="s">
        <v>103</v>
      </c>
      <c r="D174" s="61" t="s">
        <v>104</v>
      </c>
      <c r="E174" s="62" t="s">
        <v>105</v>
      </c>
      <c r="F174" s="61" t="s">
        <v>106</v>
      </c>
      <c r="G174" s="61" t="s">
        <v>5</v>
      </c>
      <c r="H174" s="61" t="s">
        <v>18</v>
      </c>
      <c r="I174" s="61" t="s">
        <v>19</v>
      </c>
      <c r="J174" s="62" t="s">
        <v>66</v>
      </c>
      <c r="K174" s="393"/>
      <c r="L174" s="393"/>
      <c r="M174" s="80" t="s">
        <v>23</v>
      </c>
      <c r="N174" s="97"/>
    </row>
    <row r="175" spans="2:22" ht="60" x14ac:dyDescent="0.25">
      <c r="C175" s="63" t="s">
        <v>253</v>
      </c>
      <c r="D175" s="84" t="s">
        <v>254</v>
      </c>
      <c r="E175" s="67">
        <f t="shared" ref="E175:E178" si="5">SUM(I175:M175)</f>
        <v>16.81860465116279</v>
      </c>
      <c r="F175" s="64" t="s">
        <v>85</v>
      </c>
      <c r="G175" s="65" t="s">
        <v>91</v>
      </c>
      <c r="H175" s="66" t="s">
        <v>90</v>
      </c>
      <c r="I175" s="67">
        <f>'Unit_Rates - $2015'!I118*1/Escalators!$G$12</f>
        <v>16.81860465116279</v>
      </c>
      <c r="J175" s="67">
        <f>'Unit_Rates - $2015'!J118*1/Escalators!$G$12*Escalators!$G$32</f>
        <v>0</v>
      </c>
      <c r="K175" s="67">
        <f>'Unit_Rates - $2015'!K118*1/Escalators!$G$12*Escalators!$G$33</f>
        <v>0</v>
      </c>
      <c r="L175" s="67">
        <f>'Unit_Rates - $2015'!L118*1/Escalators!$G$12*Escalators!$G$33</f>
        <v>0</v>
      </c>
      <c r="M175" s="67">
        <f>'Unit_Rates - $2015'!M118*1/Escalators!$G$12</f>
        <v>0</v>
      </c>
      <c r="N175" s="63"/>
    </row>
    <row r="176" spans="2:22" x14ac:dyDescent="0.25">
      <c r="C176" s="63" t="s">
        <v>255</v>
      </c>
      <c r="D176" s="84" t="s">
        <v>256</v>
      </c>
      <c r="E176" s="67">
        <f t="shared" si="5"/>
        <v>1.9866976744186042</v>
      </c>
      <c r="F176" s="64" t="s">
        <v>85</v>
      </c>
      <c r="G176" s="65" t="s">
        <v>91</v>
      </c>
      <c r="H176" s="66" t="s">
        <v>90</v>
      </c>
      <c r="I176" s="67">
        <f>'Unit_Rates - $2015'!I119*1/Escalators!$G$12</f>
        <v>1.9866976744186042</v>
      </c>
      <c r="J176" s="67">
        <f>'Unit_Rates - $2015'!J119*1/Escalators!$G$12*Escalators!$G$32</f>
        <v>0</v>
      </c>
      <c r="K176" s="67">
        <f>'Unit_Rates - $2015'!K119*1/Escalators!$G$12*Escalators!$G$33</f>
        <v>0</v>
      </c>
      <c r="L176" s="67">
        <f>'Unit_Rates - $2015'!L119*1/Escalators!$G$12*Escalators!$G$33</f>
        <v>0</v>
      </c>
      <c r="M176" s="67">
        <f>'Unit_Rates - $2015'!M119*1/Escalators!$G$12</f>
        <v>0</v>
      </c>
      <c r="N176" s="63"/>
    </row>
    <row r="177" spans="3:14" ht="30" x14ac:dyDescent="0.25">
      <c r="C177" s="63" t="s">
        <v>257</v>
      </c>
      <c r="D177" s="84" t="s">
        <v>258</v>
      </c>
      <c r="E177" s="67">
        <f t="shared" si="5"/>
        <v>1.0616744186046509</v>
      </c>
      <c r="F177" s="64" t="s">
        <v>85</v>
      </c>
      <c r="G177" s="65" t="s">
        <v>91</v>
      </c>
      <c r="H177" s="66" t="s">
        <v>90</v>
      </c>
      <c r="I177" s="67">
        <f>'Unit_Rates - $2015'!I120*1/Escalators!$G$12</f>
        <v>1.0616744186046509</v>
      </c>
      <c r="J177" s="67">
        <f>'Unit_Rates - $2015'!J120*1/Escalators!$G$12*Escalators!$G$32</f>
        <v>0</v>
      </c>
      <c r="K177" s="67">
        <f>'Unit_Rates - $2015'!K120*1/Escalators!$G$12*Escalators!$G$33</f>
        <v>0</v>
      </c>
      <c r="L177" s="67">
        <f>'Unit_Rates - $2015'!L120*1/Escalators!$G$12*Escalators!$G$33</f>
        <v>0</v>
      </c>
      <c r="M177" s="67">
        <f>'Unit_Rates - $2015'!M120*1/Escalators!$G$12</f>
        <v>0</v>
      </c>
      <c r="N177" s="63"/>
    </row>
    <row r="178" spans="3:14" x14ac:dyDescent="0.25">
      <c r="C178" s="63" t="s">
        <v>259</v>
      </c>
      <c r="D178" s="63" t="s">
        <v>260</v>
      </c>
      <c r="E178" s="67">
        <f t="shared" si="5"/>
        <v>0.24807441860465113</v>
      </c>
      <c r="F178" s="64" t="s">
        <v>88</v>
      </c>
      <c r="G178" s="65" t="s">
        <v>91</v>
      </c>
      <c r="H178" s="66" t="s">
        <v>90</v>
      </c>
      <c r="I178" s="67">
        <f>'Unit_Rates - $2015'!I121*1/Escalators!$G$12</f>
        <v>0.24807441860465113</v>
      </c>
      <c r="J178" s="67">
        <f>'Unit_Rates - $2015'!J121*1/Escalators!$G$12*Escalators!$G$32</f>
        <v>0</v>
      </c>
      <c r="K178" s="67">
        <f>'Unit_Rates - $2015'!K121*1/Escalators!$G$12*Escalators!$G$33</f>
        <v>0</v>
      </c>
      <c r="L178" s="67">
        <f>'Unit_Rates - $2015'!L121*1/Escalators!$G$12*Escalators!$G$33</f>
        <v>0</v>
      </c>
      <c r="M178" s="67">
        <f>'Unit_Rates - $2015'!M121*1/Escalators!$G$12</f>
        <v>0</v>
      </c>
      <c r="N178" s="63"/>
    </row>
    <row r="180" spans="3:14" x14ac:dyDescent="0.25">
      <c r="F180" s="74"/>
    </row>
  </sheetData>
  <mergeCells count="22">
    <mergeCell ref="K173:K174"/>
    <mergeCell ref="L173:L174"/>
    <mergeCell ref="K158:K159"/>
    <mergeCell ref="L158:L159"/>
    <mergeCell ref="C160:C163"/>
    <mergeCell ref="K166:K167"/>
    <mergeCell ref="L166:L167"/>
    <mergeCell ref="C168:C170"/>
    <mergeCell ref="B128:B134"/>
    <mergeCell ref="L148:L149"/>
    <mergeCell ref="M104:O104"/>
    <mergeCell ref="K120:K121"/>
    <mergeCell ref="L120:L121"/>
    <mergeCell ref="K137:K138"/>
    <mergeCell ref="L137:L138"/>
    <mergeCell ref="C139:C140"/>
    <mergeCell ref="C141:C144"/>
    <mergeCell ref="C122:C123"/>
    <mergeCell ref="D122:D123"/>
    <mergeCell ref="E122:E123"/>
    <mergeCell ref="F122:F123"/>
    <mergeCell ref="K148:K149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Rpt_Cat!$D$3:$D$6</xm:f>
          </x14:formula1>
          <xm:sqref>H160:H163 H139:H145 H122:H134 H106:H116 H150:H154 H175:H178 H168:H170 H7:H55 H58:H71 H74:H102</xm:sqref>
        </x14:dataValidation>
        <x14:dataValidation type="list" allowBlank="1" showInputMessage="1" showErrorMessage="1">
          <x14:formula1>
            <xm:f>Rpt_Cat!$B$3:$B$8</xm:f>
          </x14:formula1>
          <xm:sqref>G160:G163 G106:G116 G122:G134 G139:G145 G7:G55 G175:G178 G168:G170 G150:G154 G58:G71 G74:G102</xm:sqref>
        </x14:dataValidation>
        <x14:dataValidation type="list" allowBlank="1" showInputMessage="1" showErrorMessage="1">
          <x14:formula1>
            <xm:f>Rpt_Cat!$F$3:$F$4</xm:f>
          </x14:formula1>
          <xm:sqref>F106:F116 F175:F178 F168:F170 F160:F163 F7:F55 F139:F145 F122:F134 F150:F154 F58:F71 F74:F102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23"/>
  <sheetViews>
    <sheetView zoomScale="70" zoomScaleNormal="70" workbookViewId="0">
      <pane xSplit="3" topLeftCell="D1" activePane="topRight" state="frozen"/>
      <selection activeCell="H26" sqref="H26"/>
      <selection pane="topRight" activeCell="D3" sqref="D3"/>
    </sheetView>
  </sheetViews>
  <sheetFormatPr defaultRowHeight="15" outlineLevelCol="1" x14ac:dyDescent="0.25"/>
  <cols>
    <col min="1" max="1" width="3.7109375" customWidth="1"/>
    <col min="2" max="2" width="2.85546875" customWidth="1"/>
    <col min="3" max="3" width="46.7109375" customWidth="1"/>
    <col min="4" max="4" width="57.28515625" customWidth="1"/>
    <col min="5" max="5" width="9.7109375" customWidth="1"/>
    <col min="6" max="6" width="13.28515625" customWidth="1"/>
    <col min="7" max="7" width="33.28515625" style="2" customWidth="1"/>
    <col min="8" max="8" width="17.42578125" style="2" customWidth="1"/>
    <col min="9" max="9" width="9.5703125" bestFit="1" customWidth="1"/>
    <col min="10" max="10" width="12.28515625" customWidth="1"/>
    <col min="11" max="11" width="10.7109375" customWidth="1"/>
    <col min="12" max="12" width="11" customWidth="1"/>
    <col min="13" max="13" width="10.85546875" customWidth="1"/>
    <col min="14" max="14" width="12.7109375" customWidth="1"/>
    <col min="15" max="15" width="9.140625" customWidth="1"/>
    <col min="17" max="22" width="9.140625" customWidth="1" outlineLevel="1"/>
  </cols>
  <sheetData>
    <row r="1" spans="2:22" x14ac:dyDescent="0.25">
      <c r="B1" s="11" t="s">
        <v>261</v>
      </c>
      <c r="F1" s="368" t="s">
        <v>98</v>
      </c>
      <c r="G1" s="53"/>
    </row>
    <row r="2" spans="2:22" x14ac:dyDescent="0.25">
      <c r="B2" t="s">
        <v>296</v>
      </c>
      <c r="F2" s="53"/>
      <c r="G2" s="53"/>
    </row>
    <row r="3" spans="2:22" x14ac:dyDescent="0.25">
      <c r="B3" s="3" t="s">
        <v>99</v>
      </c>
      <c r="F3" s="53"/>
      <c r="G3" s="53"/>
    </row>
    <row r="4" spans="2:22" ht="31.5" x14ac:dyDescent="0.25">
      <c r="B4" s="54" t="s">
        <v>100</v>
      </c>
      <c r="I4" s="55"/>
      <c r="J4" s="56"/>
      <c r="K4" s="56"/>
      <c r="L4" s="57"/>
      <c r="M4" s="58"/>
      <c r="N4" s="59"/>
      <c r="O4" s="59"/>
    </row>
    <row r="5" spans="2:22" ht="14.45" customHeight="1" x14ac:dyDescent="0.25">
      <c r="C5" s="13"/>
      <c r="D5" s="13"/>
      <c r="E5" s="60" t="s">
        <v>101</v>
      </c>
      <c r="F5" s="13"/>
      <c r="G5" s="12"/>
      <c r="H5" s="12"/>
      <c r="I5" s="13"/>
      <c r="J5" s="13"/>
      <c r="K5" s="13"/>
      <c r="Q5" t="s">
        <v>102</v>
      </c>
    </row>
    <row r="6" spans="2:22" x14ac:dyDescent="0.25">
      <c r="C6" s="61" t="s">
        <v>103</v>
      </c>
      <c r="D6" s="61" t="s">
        <v>104</v>
      </c>
      <c r="E6" s="62" t="s">
        <v>105</v>
      </c>
      <c r="F6" s="61" t="s">
        <v>106</v>
      </c>
      <c r="G6" s="61" t="s">
        <v>5</v>
      </c>
      <c r="H6" s="61" t="s">
        <v>18</v>
      </c>
      <c r="I6" s="61" t="s">
        <v>19</v>
      </c>
      <c r="J6" s="61" t="s">
        <v>107</v>
      </c>
      <c r="K6" s="61" t="s">
        <v>23</v>
      </c>
      <c r="M6" s="2"/>
      <c r="N6" s="2"/>
      <c r="O6" s="2"/>
      <c r="Q6" s="2" t="str">
        <f>STN_1</f>
        <v>KLO</v>
      </c>
      <c r="R6" s="2" t="str">
        <f>STN_2</f>
        <v>&lt;spare&gt;</v>
      </c>
      <c r="S6" s="2"/>
      <c r="T6" s="2"/>
      <c r="U6" s="2"/>
      <c r="V6" s="2"/>
    </row>
    <row r="7" spans="2:22" x14ac:dyDescent="0.25">
      <c r="C7" s="63" t="s">
        <v>108</v>
      </c>
      <c r="D7" s="63" t="s">
        <v>109</v>
      </c>
      <c r="E7" s="370"/>
      <c r="F7" s="64" t="s">
        <v>85</v>
      </c>
      <c r="G7" s="65" t="s">
        <v>3</v>
      </c>
      <c r="H7" s="66" t="s">
        <v>25</v>
      </c>
      <c r="I7" s="67">
        <v>68.506065486725646</v>
      </c>
      <c r="J7" s="370"/>
      <c r="K7" s="370"/>
      <c r="L7" s="2"/>
      <c r="M7" s="68"/>
      <c r="N7" s="68"/>
      <c r="O7" s="68"/>
    </row>
    <row r="8" spans="2:22" x14ac:dyDescent="0.25">
      <c r="C8" s="63" t="s">
        <v>110</v>
      </c>
      <c r="D8" s="63" t="s">
        <v>111</v>
      </c>
      <c r="E8" s="370"/>
      <c r="F8" s="64" t="s">
        <v>85</v>
      </c>
      <c r="G8" s="65" t="s">
        <v>3</v>
      </c>
      <c r="H8" s="66" t="s">
        <v>25</v>
      </c>
      <c r="I8" s="67">
        <v>106.43774159292033</v>
      </c>
      <c r="J8" s="370"/>
      <c r="K8" s="370"/>
      <c r="L8" s="2"/>
      <c r="M8" s="68"/>
      <c r="N8" s="68"/>
      <c r="O8" s="68"/>
    </row>
    <row r="9" spans="2:22" x14ac:dyDescent="0.25">
      <c r="C9" s="63" t="s">
        <v>294</v>
      </c>
      <c r="D9" s="63" t="s">
        <v>295</v>
      </c>
      <c r="E9" s="370"/>
      <c r="F9" s="64" t="s">
        <v>85</v>
      </c>
      <c r="G9" s="65" t="s">
        <v>3</v>
      </c>
      <c r="H9" s="66" t="s">
        <v>25</v>
      </c>
      <c r="I9" s="67">
        <v>402.63365878474167</v>
      </c>
      <c r="J9" s="370"/>
      <c r="K9" s="370"/>
      <c r="L9" s="2"/>
      <c r="M9" s="68"/>
      <c r="N9" s="68"/>
      <c r="O9" s="68"/>
    </row>
    <row r="10" spans="2:22" x14ac:dyDescent="0.25">
      <c r="C10" s="63" t="s">
        <v>112</v>
      </c>
      <c r="D10" s="63" t="s">
        <v>113</v>
      </c>
      <c r="E10" s="370"/>
      <c r="F10" s="64" t="s">
        <v>85</v>
      </c>
      <c r="G10" s="65" t="s">
        <v>3</v>
      </c>
      <c r="H10" s="66" t="s">
        <v>25</v>
      </c>
      <c r="I10" s="67">
        <v>358.38574100294977</v>
      </c>
      <c r="J10" s="370"/>
      <c r="K10" s="370"/>
      <c r="L10" s="2"/>
      <c r="M10" s="68"/>
      <c r="N10" s="68"/>
      <c r="O10" s="68"/>
    </row>
    <row r="11" spans="2:22" x14ac:dyDescent="0.25">
      <c r="C11" s="63" t="s">
        <v>114</v>
      </c>
      <c r="D11" s="63" t="s">
        <v>115</v>
      </c>
      <c r="E11" s="370"/>
      <c r="F11" s="64" t="s">
        <v>85</v>
      </c>
      <c r="G11" s="65" t="s">
        <v>3</v>
      </c>
      <c r="H11" s="66" t="s">
        <v>25</v>
      </c>
      <c r="I11" s="67">
        <v>37.069442477876102</v>
      </c>
      <c r="J11" s="370"/>
      <c r="K11" s="370"/>
      <c r="L11" s="2"/>
      <c r="M11" s="68"/>
      <c r="N11" s="68"/>
      <c r="O11" s="68"/>
    </row>
    <row r="12" spans="2:22" x14ac:dyDescent="0.25">
      <c r="C12" s="63" t="s">
        <v>116</v>
      </c>
      <c r="D12" s="63" t="s">
        <v>117</v>
      </c>
      <c r="E12" s="370"/>
      <c r="F12" s="64" t="s">
        <v>85</v>
      </c>
      <c r="G12" s="65" t="s">
        <v>3</v>
      </c>
      <c r="H12" s="66" t="s">
        <v>25</v>
      </c>
      <c r="I12" s="67">
        <v>40.541017699115038</v>
      </c>
      <c r="J12" s="370"/>
      <c r="K12" s="370"/>
      <c r="L12" s="2"/>
      <c r="M12" s="68"/>
      <c r="N12" s="68"/>
      <c r="O12" s="68"/>
    </row>
    <row r="13" spans="2:22" x14ac:dyDescent="0.25">
      <c r="C13" s="63" t="s">
        <v>118</v>
      </c>
      <c r="D13" s="63" t="s">
        <v>118</v>
      </c>
      <c r="E13" s="370"/>
      <c r="F13" s="64" t="s">
        <v>85</v>
      </c>
      <c r="G13" s="65" t="s">
        <v>3</v>
      </c>
      <c r="H13" s="66" t="s">
        <v>25</v>
      </c>
      <c r="I13" s="67">
        <v>0</v>
      </c>
      <c r="J13" s="370"/>
      <c r="K13" s="370"/>
      <c r="L13" s="2"/>
      <c r="M13" s="68"/>
      <c r="N13" s="68"/>
      <c r="O13" s="68"/>
    </row>
    <row r="14" spans="2:22" x14ac:dyDescent="0.25">
      <c r="C14" s="63" t="s">
        <v>119</v>
      </c>
      <c r="D14" s="63" t="s">
        <v>120</v>
      </c>
      <c r="E14" s="370"/>
      <c r="F14" s="64" t="s">
        <v>85</v>
      </c>
      <c r="G14" s="65" t="s">
        <v>2</v>
      </c>
      <c r="H14" s="66" t="s">
        <v>25</v>
      </c>
      <c r="I14" s="67">
        <v>1092.6971681415926</v>
      </c>
      <c r="J14" s="370"/>
      <c r="K14" s="370"/>
      <c r="L14" s="69"/>
      <c r="M14" s="68"/>
      <c r="N14" s="68"/>
      <c r="O14" s="68"/>
    </row>
    <row r="15" spans="2:22" x14ac:dyDescent="0.25">
      <c r="C15" s="63" t="s">
        <v>121</v>
      </c>
      <c r="D15" s="63" t="s">
        <v>122</v>
      </c>
      <c r="E15" s="370"/>
      <c r="F15" s="64" t="s">
        <v>85</v>
      </c>
      <c r="G15" s="65" t="s">
        <v>3</v>
      </c>
      <c r="H15" s="66" t="s">
        <v>25</v>
      </c>
      <c r="I15" s="67">
        <v>0</v>
      </c>
      <c r="J15" s="370"/>
      <c r="K15" s="370"/>
      <c r="L15" s="2"/>
      <c r="M15" s="68"/>
      <c r="N15" s="68"/>
      <c r="O15" s="68"/>
    </row>
    <row r="16" spans="2:22" x14ac:dyDescent="0.25">
      <c r="C16" s="63" t="s">
        <v>123</v>
      </c>
      <c r="D16" s="63" t="s">
        <v>124</v>
      </c>
      <c r="E16" s="370"/>
      <c r="F16" s="64" t="s">
        <v>85</v>
      </c>
      <c r="G16" s="65" t="s">
        <v>3</v>
      </c>
      <c r="H16" s="66" t="s">
        <v>25</v>
      </c>
      <c r="I16" s="67">
        <v>1277.3132743362828</v>
      </c>
      <c r="J16" s="370"/>
      <c r="K16" s="370"/>
      <c r="L16" s="2"/>
      <c r="M16" s="68"/>
      <c r="N16" s="68"/>
      <c r="O16" s="68"/>
    </row>
    <row r="17" spans="3:21" x14ac:dyDescent="0.25">
      <c r="C17" s="63" t="s">
        <v>125</v>
      </c>
      <c r="D17" s="63" t="s">
        <v>126</v>
      </c>
      <c r="E17" s="370"/>
      <c r="F17" s="64" t="s">
        <v>85</v>
      </c>
      <c r="G17" s="65" t="s">
        <v>3</v>
      </c>
      <c r="H17" s="66" t="s">
        <v>25</v>
      </c>
      <c r="I17" s="67">
        <v>1378.3627906976742</v>
      </c>
      <c r="J17" s="370"/>
      <c r="K17" s="370"/>
      <c r="L17" s="2"/>
      <c r="M17" s="68"/>
      <c r="N17" s="68"/>
      <c r="O17" s="68"/>
    </row>
    <row r="18" spans="3:21" x14ac:dyDescent="0.25">
      <c r="C18" s="63" t="s">
        <v>127</v>
      </c>
      <c r="D18" s="63" t="s">
        <v>128</v>
      </c>
      <c r="E18" s="370"/>
      <c r="F18" s="64" t="s">
        <v>85</v>
      </c>
      <c r="G18" s="65" t="s">
        <v>3</v>
      </c>
      <c r="H18" s="66" t="s">
        <v>25</v>
      </c>
      <c r="I18" s="67">
        <v>660.35398230088481</v>
      </c>
      <c r="J18" s="370"/>
      <c r="K18" s="370"/>
      <c r="L18" s="2"/>
      <c r="M18" s="68"/>
      <c r="N18" s="68"/>
      <c r="O18" s="68"/>
    </row>
    <row r="19" spans="3:21" x14ac:dyDescent="0.25">
      <c r="C19" s="63" t="s">
        <v>129</v>
      </c>
      <c r="D19" s="63" t="s">
        <v>130</v>
      </c>
      <c r="E19" s="370"/>
      <c r="F19" s="64" t="s">
        <v>85</v>
      </c>
      <c r="G19" s="65" t="s">
        <v>3</v>
      </c>
      <c r="H19" s="66" t="s">
        <v>25</v>
      </c>
      <c r="I19" s="67">
        <v>119.83724093023255</v>
      </c>
      <c r="J19" s="370"/>
      <c r="K19" s="370"/>
      <c r="L19" s="2"/>
      <c r="M19" s="68"/>
      <c r="N19" s="68"/>
      <c r="O19" s="68"/>
    </row>
    <row r="20" spans="3:21" x14ac:dyDescent="0.25">
      <c r="C20" s="63" t="s">
        <v>298</v>
      </c>
      <c r="D20" s="63" t="s">
        <v>131</v>
      </c>
      <c r="E20" s="370"/>
      <c r="F20" s="64" t="s">
        <v>85</v>
      </c>
      <c r="G20" s="65" t="s">
        <v>3</v>
      </c>
      <c r="H20" s="66" t="s">
        <v>25</v>
      </c>
      <c r="I20" s="67">
        <v>439.39953982300887</v>
      </c>
      <c r="J20" s="370"/>
      <c r="K20" s="370"/>
      <c r="L20" s="2"/>
      <c r="M20" s="68"/>
      <c r="N20" s="68"/>
      <c r="O20" s="68"/>
    </row>
    <row r="21" spans="3:21" x14ac:dyDescent="0.25">
      <c r="C21" s="63" t="s">
        <v>299</v>
      </c>
      <c r="D21" s="63" t="s">
        <v>131</v>
      </c>
      <c r="E21" s="370"/>
      <c r="F21" s="64" t="s">
        <v>85</v>
      </c>
      <c r="G21" s="65" t="s">
        <v>3</v>
      </c>
      <c r="H21" s="66" t="s">
        <v>25</v>
      </c>
      <c r="I21" s="67">
        <v>383.76</v>
      </c>
      <c r="J21" s="370"/>
      <c r="K21" s="370"/>
      <c r="L21" s="2"/>
      <c r="M21" s="68"/>
      <c r="N21" s="68"/>
      <c r="O21" s="68"/>
    </row>
    <row r="22" spans="3:21" s="70" customFormat="1" x14ac:dyDescent="0.25">
      <c r="C22" s="63" t="s">
        <v>300</v>
      </c>
      <c r="D22" s="63" t="s">
        <v>132</v>
      </c>
      <c r="E22" s="370"/>
      <c r="F22" s="64" t="s">
        <v>85</v>
      </c>
      <c r="G22" s="65" t="s">
        <v>3</v>
      </c>
      <c r="H22" s="66" t="s">
        <v>25</v>
      </c>
      <c r="I22" s="67">
        <v>647.66103539823018</v>
      </c>
      <c r="J22" s="370"/>
      <c r="K22" s="370"/>
      <c r="L22" s="2"/>
      <c r="M22" s="68"/>
      <c r="N22" s="68"/>
      <c r="O22" s="68"/>
      <c r="Q22"/>
      <c r="R22"/>
      <c r="S22"/>
      <c r="T22"/>
      <c r="U22"/>
    </row>
    <row r="23" spans="3:21" x14ac:dyDescent="0.25">
      <c r="C23" s="63" t="s">
        <v>133</v>
      </c>
      <c r="D23" s="63" t="s">
        <v>134</v>
      </c>
      <c r="E23" s="370"/>
      <c r="F23" s="64" t="s">
        <v>85</v>
      </c>
      <c r="G23" s="65" t="s">
        <v>3</v>
      </c>
      <c r="H23" s="66" t="s">
        <v>25</v>
      </c>
      <c r="I23" s="67">
        <v>86.121892093023249</v>
      </c>
      <c r="J23" s="370"/>
      <c r="K23" s="370"/>
      <c r="L23" s="2"/>
      <c r="M23" s="68"/>
      <c r="N23" s="68"/>
      <c r="O23" s="68"/>
    </row>
    <row r="24" spans="3:21" x14ac:dyDescent="0.25">
      <c r="C24" s="63" t="s">
        <v>135</v>
      </c>
      <c r="D24" s="63" t="s">
        <v>135</v>
      </c>
      <c r="E24" s="370"/>
      <c r="F24" s="64" t="s">
        <v>85</v>
      </c>
      <c r="G24" s="65" t="s">
        <v>3</v>
      </c>
      <c r="H24" s="66" t="s">
        <v>25</v>
      </c>
      <c r="I24" s="67">
        <v>0</v>
      </c>
      <c r="J24" s="370"/>
      <c r="K24" s="370"/>
      <c r="L24" s="2"/>
      <c r="M24" s="68"/>
      <c r="N24" s="68"/>
      <c r="O24" s="68"/>
    </row>
    <row r="25" spans="3:21" x14ac:dyDescent="0.25">
      <c r="C25" s="63" t="s">
        <v>136</v>
      </c>
      <c r="D25" s="63" t="s">
        <v>137</v>
      </c>
      <c r="E25" s="370"/>
      <c r="F25" s="64" t="s">
        <v>85</v>
      </c>
      <c r="G25" s="65" t="s">
        <v>3</v>
      </c>
      <c r="H25" s="66" t="s">
        <v>25</v>
      </c>
      <c r="I25" s="67">
        <v>100.94548318584069</v>
      </c>
      <c r="J25" s="370"/>
      <c r="K25" s="370"/>
      <c r="L25" s="2"/>
      <c r="M25" s="68"/>
      <c r="N25" s="68"/>
      <c r="O25" s="68"/>
    </row>
    <row r="26" spans="3:21" x14ac:dyDescent="0.25">
      <c r="C26" s="63" t="s">
        <v>138</v>
      </c>
      <c r="D26" s="63" t="s">
        <v>139</v>
      </c>
      <c r="E26" s="370"/>
      <c r="F26" s="64" t="s">
        <v>85</v>
      </c>
      <c r="G26" s="65" t="s">
        <v>3</v>
      </c>
      <c r="H26" s="66" t="s">
        <v>25</v>
      </c>
      <c r="I26" s="67">
        <v>7.2299327433628298</v>
      </c>
      <c r="J26" s="370"/>
      <c r="K26" s="370"/>
      <c r="L26" s="2"/>
      <c r="M26" s="68"/>
      <c r="N26" s="68"/>
      <c r="O26" s="68"/>
    </row>
    <row r="27" spans="3:21" x14ac:dyDescent="0.25">
      <c r="C27" s="63" t="s">
        <v>140</v>
      </c>
      <c r="D27" s="63" t="s">
        <v>140</v>
      </c>
      <c r="E27" s="370"/>
      <c r="F27" s="64" t="s">
        <v>85</v>
      </c>
      <c r="G27" s="65" t="s">
        <v>3</v>
      </c>
      <c r="H27" s="66" t="s">
        <v>25</v>
      </c>
      <c r="I27" s="67">
        <v>0</v>
      </c>
      <c r="J27" s="370"/>
      <c r="K27" s="370"/>
      <c r="L27" s="2"/>
      <c r="M27" s="68"/>
      <c r="N27" s="68"/>
      <c r="O27" s="68"/>
    </row>
    <row r="28" spans="3:21" x14ac:dyDescent="0.25">
      <c r="C28" s="63" t="s">
        <v>141</v>
      </c>
      <c r="D28" s="63" t="s">
        <v>141</v>
      </c>
      <c r="E28" s="370"/>
      <c r="F28" s="64" t="s">
        <v>85</v>
      </c>
      <c r="G28" s="65" t="s">
        <v>3</v>
      </c>
      <c r="H28" s="66" t="s">
        <v>25</v>
      </c>
      <c r="I28" s="67">
        <v>0</v>
      </c>
      <c r="J28" s="370"/>
      <c r="K28" s="370"/>
      <c r="L28" s="2"/>
      <c r="M28" s="68"/>
      <c r="N28" s="68"/>
      <c r="O28" s="68"/>
    </row>
    <row r="29" spans="3:21" x14ac:dyDescent="0.25">
      <c r="C29" s="63" t="s">
        <v>142</v>
      </c>
      <c r="D29" s="63" t="s">
        <v>142</v>
      </c>
      <c r="E29" s="370"/>
      <c r="F29" s="64" t="s">
        <v>85</v>
      </c>
      <c r="G29" s="65" t="s">
        <v>3</v>
      </c>
      <c r="H29" s="66" t="s">
        <v>25</v>
      </c>
      <c r="I29" s="67">
        <v>25.624564601769904</v>
      </c>
      <c r="J29" s="370"/>
      <c r="K29" s="370"/>
      <c r="L29" s="2"/>
      <c r="M29" s="68"/>
      <c r="N29" s="68"/>
      <c r="O29" s="68"/>
    </row>
    <row r="30" spans="3:21" x14ac:dyDescent="0.25">
      <c r="C30" s="63" t="s">
        <v>143</v>
      </c>
      <c r="D30" s="63" t="s">
        <v>144</v>
      </c>
      <c r="E30" s="370"/>
      <c r="F30" s="64" t="s">
        <v>85</v>
      </c>
      <c r="G30" s="65" t="s">
        <v>3</v>
      </c>
      <c r="H30" s="66" t="s">
        <v>25</v>
      </c>
      <c r="I30" s="67">
        <v>0</v>
      </c>
      <c r="J30" s="370"/>
      <c r="K30" s="370"/>
      <c r="L30" s="2"/>
      <c r="M30" s="68"/>
      <c r="N30" s="68"/>
      <c r="O30" s="68"/>
    </row>
    <row r="31" spans="3:21" x14ac:dyDescent="0.25">
      <c r="C31" s="63" t="s">
        <v>145</v>
      </c>
      <c r="D31" s="63" t="s">
        <v>145</v>
      </c>
      <c r="E31" s="370"/>
      <c r="F31" s="64" t="s">
        <v>85</v>
      </c>
      <c r="G31" s="65" t="s">
        <v>3</v>
      </c>
      <c r="H31" s="66" t="s">
        <v>25</v>
      </c>
      <c r="I31" s="67">
        <v>0.58488495575221222</v>
      </c>
      <c r="J31" s="370"/>
      <c r="K31" s="370"/>
      <c r="L31" s="2"/>
      <c r="M31" s="68"/>
      <c r="N31" s="68"/>
      <c r="O31" s="68"/>
    </row>
    <row r="32" spans="3:21" x14ac:dyDescent="0.25">
      <c r="C32" s="63" t="s">
        <v>146</v>
      </c>
      <c r="D32" s="63" t="s">
        <v>146</v>
      </c>
      <c r="E32" s="370"/>
      <c r="F32" s="64" t="s">
        <v>85</v>
      </c>
      <c r="G32" s="65" t="s">
        <v>3</v>
      </c>
      <c r="H32" s="66" t="s">
        <v>25</v>
      </c>
      <c r="I32" s="67">
        <v>24.73714976744186</v>
      </c>
      <c r="J32" s="370"/>
      <c r="K32" s="370"/>
      <c r="L32" s="2"/>
      <c r="M32" s="68"/>
      <c r="N32" s="68"/>
      <c r="O32" s="68"/>
    </row>
    <row r="33" spans="2:21" x14ac:dyDescent="0.25">
      <c r="C33" s="63" t="s">
        <v>147</v>
      </c>
      <c r="D33" s="63" t="s">
        <v>148</v>
      </c>
      <c r="E33" s="370"/>
      <c r="F33" s="64" t="s">
        <v>85</v>
      </c>
      <c r="G33" s="65" t="s">
        <v>3</v>
      </c>
      <c r="H33" s="66" t="s">
        <v>25</v>
      </c>
      <c r="I33" s="67">
        <v>88.538375221238923</v>
      </c>
      <c r="J33" s="371"/>
      <c r="K33" s="370"/>
      <c r="L33" s="2"/>
      <c r="M33" s="68"/>
      <c r="N33" s="68"/>
      <c r="O33" s="68"/>
    </row>
    <row r="34" spans="2:21" x14ac:dyDescent="0.25">
      <c r="C34" s="63" t="s">
        <v>149</v>
      </c>
      <c r="D34" s="63" t="s">
        <v>150</v>
      </c>
      <c r="E34" s="370"/>
      <c r="F34" s="64" t="s">
        <v>85</v>
      </c>
      <c r="G34" s="65" t="s">
        <v>3</v>
      </c>
      <c r="H34" s="66" t="s">
        <v>25</v>
      </c>
      <c r="I34" s="67">
        <v>0</v>
      </c>
      <c r="J34" s="370"/>
      <c r="K34" s="370"/>
      <c r="L34" s="2"/>
      <c r="M34" s="68"/>
      <c r="N34" s="68"/>
      <c r="O34" s="68"/>
    </row>
    <row r="35" spans="2:21" x14ac:dyDescent="0.25">
      <c r="C35" s="63" t="s">
        <v>151</v>
      </c>
      <c r="D35" s="63" t="s">
        <v>152</v>
      </c>
      <c r="E35" s="370"/>
      <c r="F35" s="64" t="s">
        <v>85</v>
      </c>
      <c r="G35" s="65" t="s">
        <v>3</v>
      </c>
      <c r="H35" s="66" t="s">
        <v>25</v>
      </c>
      <c r="I35" s="67">
        <v>0</v>
      </c>
      <c r="J35" s="370"/>
      <c r="K35" s="370"/>
      <c r="L35" s="2"/>
      <c r="M35" s="68"/>
      <c r="N35" s="68"/>
      <c r="O35" s="68"/>
    </row>
    <row r="36" spans="2:21" x14ac:dyDescent="0.25">
      <c r="C36" s="63" t="s">
        <v>153</v>
      </c>
      <c r="D36" s="63" t="s">
        <v>154</v>
      </c>
      <c r="E36" s="370"/>
      <c r="F36" s="64" t="s">
        <v>85</v>
      </c>
      <c r="G36" s="65" t="s">
        <v>3</v>
      </c>
      <c r="H36" s="66" t="s">
        <v>25</v>
      </c>
      <c r="I36" s="67">
        <v>214.73768141592916</v>
      </c>
      <c r="J36" s="371"/>
      <c r="K36" s="370"/>
      <c r="L36" s="2"/>
      <c r="M36" s="68"/>
      <c r="N36" s="68"/>
      <c r="O36" s="68"/>
    </row>
    <row r="37" spans="2:21" x14ac:dyDescent="0.25">
      <c r="C37" s="63" t="s">
        <v>155</v>
      </c>
      <c r="D37" s="63" t="s">
        <v>156</v>
      </c>
      <c r="E37" s="370"/>
      <c r="F37" s="64" t="s">
        <v>85</v>
      </c>
      <c r="G37" s="65" t="s">
        <v>3</v>
      </c>
      <c r="H37" s="66" t="s">
        <v>25</v>
      </c>
      <c r="I37" s="67">
        <v>164.69749581395345</v>
      </c>
      <c r="J37" s="371"/>
      <c r="K37" s="370"/>
      <c r="L37" s="71"/>
      <c r="M37" s="68"/>
      <c r="N37" s="68"/>
      <c r="O37" s="68"/>
    </row>
    <row r="38" spans="2:21" x14ac:dyDescent="0.25">
      <c r="C38" s="63" t="s">
        <v>157</v>
      </c>
      <c r="D38" s="63" t="s">
        <v>158</v>
      </c>
      <c r="E38" s="370"/>
      <c r="F38" s="64" t="s">
        <v>85</v>
      </c>
      <c r="G38" s="65" t="s">
        <v>3</v>
      </c>
      <c r="H38" s="66" t="s">
        <v>25</v>
      </c>
      <c r="I38" s="67">
        <v>348.13767610619459</v>
      </c>
      <c r="J38" s="371"/>
      <c r="K38" s="370"/>
      <c r="L38" s="2"/>
      <c r="M38" s="68"/>
      <c r="N38" s="68"/>
      <c r="O38" s="68"/>
    </row>
    <row r="39" spans="2:21" x14ac:dyDescent="0.25">
      <c r="C39" s="63" t="s">
        <v>159</v>
      </c>
      <c r="D39" s="63" t="s">
        <v>160</v>
      </c>
      <c r="E39" s="370"/>
      <c r="F39" s="64" t="s">
        <v>85</v>
      </c>
      <c r="G39" s="65" t="s">
        <v>3</v>
      </c>
      <c r="H39" s="66" t="s">
        <v>25</v>
      </c>
      <c r="I39" s="67">
        <v>33.716340465116275</v>
      </c>
      <c r="J39" s="370"/>
      <c r="K39" s="370"/>
      <c r="L39" s="2"/>
      <c r="M39" s="68"/>
      <c r="N39" s="68"/>
      <c r="O39" s="68"/>
    </row>
    <row r="40" spans="2:21" x14ac:dyDescent="0.25">
      <c r="C40" s="63" t="s">
        <v>159</v>
      </c>
      <c r="D40" s="63" t="s">
        <v>161</v>
      </c>
      <c r="E40" s="370"/>
      <c r="F40" s="64" t="s">
        <v>85</v>
      </c>
      <c r="G40" s="65" t="s">
        <v>3</v>
      </c>
      <c r="H40" s="66" t="s">
        <v>25</v>
      </c>
      <c r="I40" s="67">
        <v>10.421017674418604</v>
      </c>
      <c r="J40" s="370"/>
      <c r="K40" s="370"/>
      <c r="L40" s="2"/>
      <c r="M40" s="68"/>
      <c r="N40" s="68"/>
      <c r="O40" s="68"/>
    </row>
    <row r="41" spans="2:21" x14ac:dyDescent="0.25">
      <c r="C41" s="63" t="s">
        <v>159</v>
      </c>
      <c r="D41" s="63" t="s">
        <v>162</v>
      </c>
      <c r="E41" s="370"/>
      <c r="F41" s="64" t="s">
        <v>85</v>
      </c>
      <c r="G41" s="65" t="s">
        <v>3</v>
      </c>
      <c r="H41" s="66" t="s">
        <v>25</v>
      </c>
      <c r="I41" s="67">
        <v>1.775013953488372</v>
      </c>
      <c r="J41" s="370"/>
      <c r="K41" s="370"/>
      <c r="L41" s="2"/>
      <c r="M41" s="68"/>
      <c r="N41" s="68"/>
      <c r="O41" s="68"/>
    </row>
    <row r="42" spans="2:21" x14ac:dyDescent="0.25">
      <c r="C42" s="63" t="s">
        <v>163</v>
      </c>
      <c r="D42" s="63" t="s">
        <v>164</v>
      </c>
      <c r="E42" s="370"/>
      <c r="F42" s="64" t="s">
        <v>85</v>
      </c>
      <c r="G42" s="65" t="s">
        <v>3</v>
      </c>
      <c r="H42" s="66" t="s">
        <v>25</v>
      </c>
      <c r="I42" s="72">
        <v>4.7168141592920348E-2</v>
      </c>
      <c r="J42" s="372"/>
      <c r="K42" s="370"/>
      <c r="L42" s="2"/>
      <c r="M42" s="68"/>
      <c r="N42" s="68"/>
      <c r="O42" s="68"/>
    </row>
    <row r="43" spans="2:21" x14ac:dyDescent="0.25">
      <c r="C43" s="63" t="s">
        <v>165</v>
      </c>
      <c r="D43" s="63" t="s">
        <v>166</v>
      </c>
      <c r="E43" s="370"/>
      <c r="F43" s="64" t="s">
        <v>85</v>
      </c>
      <c r="G43" s="65" t="s">
        <v>3</v>
      </c>
      <c r="H43" s="66" t="s">
        <v>25</v>
      </c>
      <c r="I43" s="67">
        <v>0</v>
      </c>
      <c r="J43" s="370"/>
      <c r="K43" s="370"/>
      <c r="L43" s="2"/>
      <c r="M43" s="68"/>
      <c r="N43" s="68"/>
      <c r="O43" s="68"/>
    </row>
    <row r="44" spans="2:21" s="70" customFormat="1" x14ac:dyDescent="0.25">
      <c r="C44" s="63" t="s">
        <v>167</v>
      </c>
      <c r="D44" s="63" t="s">
        <v>168</v>
      </c>
      <c r="E44" s="370"/>
      <c r="F44" s="64" t="s">
        <v>85</v>
      </c>
      <c r="G44" s="65" t="s">
        <v>3</v>
      </c>
      <c r="H44" s="66" t="s">
        <v>25</v>
      </c>
      <c r="I44" s="67">
        <v>123.95348837209301</v>
      </c>
      <c r="J44" s="370"/>
      <c r="K44" s="370"/>
      <c r="L44" s="2"/>
      <c r="M44" s="68"/>
      <c r="N44" s="68"/>
      <c r="O44" s="68"/>
      <c r="Q44"/>
      <c r="R44"/>
      <c r="S44"/>
      <c r="T44"/>
      <c r="U44"/>
    </row>
    <row r="45" spans="2:21" s="70" customFormat="1" x14ac:dyDescent="0.25">
      <c r="C45" s="63" t="s">
        <v>169</v>
      </c>
      <c r="D45" s="63" t="s">
        <v>170</v>
      </c>
      <c r="E45" s="370"/>
      <c r="F45" s="64" t="s">
        <v>85</v>
      </c>
      <c r="G45" s="65" t="s">
        <v>3</v>
      </c>
      <c r="H45" s="66" t="s">
        <v>25</v>
      </c>
      <c r="I45" s="67"/>
      <c r="J45" s="370"/>
      <c r="K45" s="370"/>
      <c r="L45" s="2"/>
      <c r="M45" s="68"/>
      <c r="N45" s="68"/>
      <c r="O45" s="68"/>
      <c r="Q45"/>
      <c r="R45"/>
      <c r="S45"/>
      <c r="T45"/>
      <c r="U45"/>
    </row>
    <row r="46" spans="2:21" x14ac:dyDescent="0.25">
      <c r="E46" s="73"/>
      <c r="F46" s="74"/>
      <c r="I46" s="55"/>
      <c r="J46" s="55"/>
      <c r="K46" s="55"/>
      <c r="L46" s="55"/>
      <c r="M46" s="55"/>
      <c r="N46" s="55"/>
    </row>
    <row r="47" spans="2:21" ht="30.6" customHeight="1" x14ac:dyDescent="0.25">
      <c r="B47" s="54" t="s">
        <v>172</v>
      </c>
      <c r="E47" s="73"/>
      <c r="F47" s="74"/>
      <c r="I47" s="55"/>
      <c r="J47" s="55"/>
      <c r="K47" s="55"/>
      <c r="L47" s="55"/>
      <c r="M47" s="55"/>
      <c r="N47" s="55"/>
    </row>
    <row r="48" spans="2:21" ht="14.45" customHeight="1" x14ac:dyDescent="0.25">
      <c r="C48" s="13"/>
      <c r="D48" s="13"/>
      <c r="E48" s="60" t="s">
        <v>101</v>
      </c>
      <c r="F48" s="13"/>
      <c r="G48" s="12"/>
      <c r="H48" s="12"/>
      <c r="I48" s="13"/>
      <c r="J48" s="13"/>
      <c r="K48" s="13"/>
      <c r="L48" s="55"/>
      <c r="M48" s="394"/>
      <c r="N48" s="394"/>
      <c r="O48" s="394"/>
    </row>
    <row r="49" spans="2:15" x14ac:dyDescent="0.25">
      <c r="B49" s="16"/>
      <c r="C49" s="61" t="s">
        <v>103</v>
      </c>
      <c r="D49" s="61" t="s">
        <v>104</v>
      </c>
      <c r="E49" s="62" t="s">
        <v>105</v>
      </c>
      <c r="F49" s="61" t="s">
        <v>106</v>
      </c>
      <c r="G49" s="61" t="s">
        <v>5</v>
      </c>
      <c r="H49" s="61" t="s">
        <v>18</v>
      </c>
      <c r="I49" s="61" t="s">
        <v>19</v>
      </c>
      <c r="J49" s="61" t="s">
        <v>107</v>
      </c>
      <c r="K49" s="61" t="s">
        <v>23</v>
      </c>
      <c r="L49" s="55"/>
      <c r="M49" s="2"/>
      <c r="N49" s="2"/>
      <c r="O49" s="2"/>
    </row>
    <row r="50" spans="2:15" x14ac:dyDescent="0.25">
      <c r="C50" s="63" t="s">
        <v>173</v>
      </c>
      <c r="D50" s="63" t="s">
        <v>174</v>
      </c>
      <c r="E50" s="370"/>
      <c r="F50" s="64" t="s">
        <v>85</v>
      </c>
      <c r="G50" s="65" t="s">
        <v>2</v>
      </c>
      <c r="H50" s="66" t="s">
        <v>25</v>
      </c>
      <c r="I50" s="67">
        <v>46.208057090239414</v>
      </c>
      <c r="J50" s="370"/>
      <c r="K50" s="370"/>
      <c r="L50" s="2"/>
      <c r="M50" s="68"/>
      <c r="N50" s="68"/>
      <c r="O50" s="68"/>
    </row>
    <row r="51" spans="2:15" x14ac:dyDescent="0.25">
      <c r="C51" s="63" t="s">
        <v>175</v>
      </c>
      <c r="D51" s="63" t="s">
        <v>174</v>
      </c>
      <c r="E51" s="370"/>
      <c r="F51" s="64" t="s">
        <v>85</v>
      </c>
      <c r="G51" s="65" t="s">
        <v>2</v>
      </c>
      <c r="H51" s="66" t="s">
        <v>25</v>
      </c>
      <c r="I51" s="67">
        <v>58.317856353591161</v>
      </c>
      <c r="J51" s="370"/>
      <c r="K51" s="370"/>
      <c r="L51" s="2"/>
      <c r="M51" s="68"/>
      <c r="N51" s="68"/>
      <c r="O51" s="68"/>
    </row>
    <row r="52" spans="2:15" x14ac:dyDescent="0.25">
      <c r="C52" s="63" t="s">
        <v>176</v>
      </c>
      <c r="D52" s="63" t="s">
        <v>177</v>
      </c>
      <c r="E52" s="370"/>
      <c r="F52" s="64" t="s">
        <v>85</v>
      </c>
      <c r="G52" s="65" t="s">
        <v>2</v>
      </c>
      <c r="H52" s="66" t="s">
        <v>25</v>
      </c>
      <c r="I52" s="67">
        <v>5.88950276243094</v>
      </c>
      <c r="J52" s="370"/>
      <c r="K52" s="370"/>
      <c r="L52" s="2"/>
      <c r="M52" s="68"/>
      <c r="N52" s="68"/>
      <c r="O52" s="68"/>
    </row>
    <row r="53" spans="2:15" x14ac:dyDescent="0.25">
      <c r="C53" s="63" t="s">
        <v>178</v>
      </c>
      <c r="D53" s="63" t="s">
        <v>178</v>
      </c>
      <c r="E53" s="370"/>
      <c r="F53" s="64" t="s">
        <v>85</v>
      </c>
      <c r="G53" s="65" t="s">
        <v>2</v>
      </c>
      <c r="H53" s="66" t="s">
        <v>25</v>
      </c>
      <c r="I53" s="67">
        <v>8.2030957642725593</v>
      </c>
      <c r="J53" s="370"/>
      <c r="K53" s="370"/>
      <c r="L53" s="2"/>
      <c r="M53" s="68"/>
      <c r="N53" s="68"/>
      <c r="O53" s="68"/>
    </row>
    <row r="54" spans="2:15" x14ac:dyDescent="0.25">
      <c r="C54" s="63" t="s">
        <v>179</v>
      </c>
      <c r="D54" s="63" t="s">
        <v>180</v>
      </c>
      <c r="E54" s="370"/>
      <c r="F54" s="64" t="s">
        <v>85</v>
      </c>
      <c r="G54" s="65" t="s">
        <v>2</v>
      </c>
      <c r="H54" s="66" t="s">
        <v>25</v>
      </c>
      <c r="I54" s="67">
        <v>92.456849907918979</v>
      </c>
      <c r="J54" s="370"/>
      <c r="K54" s="370"/>
      <c r="L54" s="2"/>
      <c r="M54" s="68"/>
      <c r="N54" s="68"/>
      <c r="O54" s="68"/>
    </row>
    <row r="55" spans="2:15" x14ac:dyDescent="0.25">
      <c r="C55" s="63" t="s">
        <v>181</v>
      </c>
      <c r="D55" s="63" t="s">
        <v>182</v>
      </c>
      <c r="E55" s="370"/>
      <c r="F55" s="64" t="s">
        <v>85</v>
      </c>
      <c r="G55" s="65" t="s">
        <v>2</v>
      </c>
      <c r="H55" s="66" t="s">
        <v>25</v>
      </c>
      <c r="I55" s="67">
        <v>186.46067587476981</v>
      </c>
      <c r="J55" s="370"/>
      <c r="K55" s="370"/>
      <c r="L55" s="2"/>
      <c r="M55" s="68"/>
      <c r="N55" s="68"/>
      <c r="O55" s="68"/>
    </row>
    <row r="56" spans="2:15" x14ac:dyDescent="0.25">
      <c r="C56" s="63" t="s">
        <v>183</v>
      </c>
      <c r="D56" s="63" t="s">
        <v>184</v>
      </c>
      <c r="E56" s="370"/>
      <c r="F56" s="64" t="s">
        <v>85</v>
      </c>
      <c r="G56" s="65" t="s">
        <v>2</v>
      </c>
      <c r="H56" s="66" t="s">
        <v>25</v>
      </c>
      <c r="I56" s="67">
        <v>154.73392449355433</v>
      </c>
      <c r="J56" s="370"/>
      <c r="K56" s="370"/>
      <c r="L56" s="2"/>
      <c r="M56" s="68"/>
      <c r="N56" s="68"/>
      <c r="O56" s="68"/>
    </row>
    <row r="57" spans="2:15" x14ac:dyDescent="0.25">
      <c r="C57" s="63" t="s">
        <v>185</v>
      </c>
      <c r="D57" s="63" t="s">
        <v>186</v>
      </c>
      <c r="E57" s="370"/>
      <c r="F57" s="64" t="s">
        <v>85</v>
      </c>
      <c r="G57" s="65" t="s">
        <v>2</v>
      </c>
      <c r="H57" s="66" t="s">
        <v>25</v>
      </c>
      <c r="I57" s="67">
        <v>39.589237569060778</v>
      </c>
      <c r="J57" s="370"/>
      <c r="K57" s="370"/>
      <c r="L57" s="2"/>
      <c r="M57" s="68"/>
      <c r="N57" s="68"/>
      <c r="O57" s="68"/>
    </row>
    <row r="58" spans="2:15" x14ac:dyDescent="0.25">
      <c r="C58" s="63" t="s">
        <v>187</v>
      </c>
      <c r="D58" s="63" t="s">
        <v>188</v>
      </c>
      <c r="E58" s="370"/>
      <c r="F58" s="64" t="s">
        <v>85</v>
      </c>
      <c r="G58" s="65" t="s">
        <v>2</v>
      </c>
      <c r="H58" s="66" t="s">
        <v>25</v>
      </c>
      <c r="I58" s="67">
        <v>31.775830570902396</v>
      </c>
      <c r="J58" s="370"/>
      <c r="K58" s="370"/>
      <c r="L58" s="2"/>
      <c r="M58" s="68"/>
      <c r="N58" s="68"/>
      <c r="O58" s="68"/>
    </row>
    <row r="59" spans="2:15" x14ac:dyDescent="0.25">
      <c r="C59" s="63" t="s">
        <v>189</v>
      </c>
      <c r="D59" s="63" t="s">
        <v>190</v>
      </c>
      <c r="E59" s="370"/>
      <c r="F59" s="64" t="s">
        <v>85</v>
      </c>
      <c r="G59" s="65" t="s">
        <v>2</v>
      </c>
      <c r="H59" s="66" t="s">
        <v>25</v>
      </c>
      <c r="I59" s="67">
        <v>140.881568372093</v>
      </c>
      <c r="J59" s="370"/>
      <c r="K59" s="370"/>
      <c r="L59" s="2"/>
      <c r="M59" s="68"/>
      <c r="N59" s="68"/>
      <c r="O59" s="68"/>
    </row>
    <row r="60" spans="2:15" x14ac:dyDescent="0.25">
      <c r="C60" s="63" t="s">
        <v>191</v>
      </c>
      <c r="D60" s="63" t="s">
        <v>192</v>
      </c>
      <c r="E60" s="370"/>
      <c r="F60" s="64" t="s">
        <v>85</v>
      </c>
      <c r="G60" s="65" t="s">
        <v>2</v>
      </c>
      <c r="H60" s="66" t="s">
        <v>25</v>
      </c>
      <c r="I60" s="67">
        <v>87.015440147329656</v>
      </c>
      <c r="J60" s="370"/>
      <c r="K60" s="370"/>
      <c r="L60" s="2"/>
      <c r="M60" s="68"/>
      <c r="N60" s="68"/>
      <c r="O60" s="68"/>
    </row>
    <row r="61" spans="2:15" x14ac:dyDescent="0.25">
      <c r="E61" s="73"/>
      <c r="F61" s="74"/>
      <c r="I61" s="55"/>
      <c r="J61" s="55"/>
      <c r="K61" s="55"/>
      <c r="L61" s="55"/>
      <c r="M61" s="55"/>
      <c r="N61" s="55"/>
    </row>
    <row r="62" spans="2:15" x14ac:dyDescent="0.25">
      <c r="E62" s="75"/>
    </row>
    <row r="63" spans="2:15" x14ac:dyDescent="0.25">
      <c r="B63" s="3" t="s">
        <v>193</v>
      </c>
    </row>
    <row r="64" spans="2:15" ht="15" customHeight="1" x14ac:dyDescent="0.25">
      <c r="C64" s="13"/>
      <c r="D64" s="13"/>
      <c r="E64" s="60" t="s">
        <v>101</v>
      </c>
      <c r="F64" s="13"/>
      <c r="G64" s="12"/>
      <c r="H64" s="12"/>
      <c r="I64" s="13"/>
      <c r="J64" s="76"/>
      <c r="K64" s="393" t="s">
        <v>21</v>
      </c>
      <c r="L64" s="393" t="s">
        <v>22</v>
      </c>
      <c r="M64" s="77"/>
      <c r="N64" s="78"/>
      <c r="O64" s="79"/>
    </row>
    <row r="65" spans="2:23" x14ac:dyDescent="0.25">
      <c r="C65" s="61" t="s">
        <v>103</v>
      </c>
      <c r="D65" s="61" t="s">
        <v>104</v>
      </c>
      <c r="E65" s="62" t="s">
        <v>105</v>
      </c>
      <c r="F65" s="61" t="s">
        <v>106</v>
      </c>
      <c r="G65" s="61" t="s">
        <v>5</v>
      </c>
      <c r="H65" s="61" t="s">
        <v>18</v>
      </c>
      <c r="I65" s="61" t="s">
        <v>19</v>
      </c>
      <c r="J65" s="62" t="s">
        <v>66</v>
      </c>
      <c r="K65" s="393"/>
      <c r="L65" s="393"/>
      <c r="M65" s="80" t="s">
        <v>23</v>
      </c>
      <c r="N65" s="80"/>
      <c r="O65" s="2"/>
    </row>
    <row r="66" spans="2:23" ht="28.5" customHeight="1" x14ac:dyDescent="0.25">
      <c r="C66" s="398" t="s">
        <v>194</v>
      </c>
      <c r="D66" s="399" t="s">
        <v>195</v>
      </c>
      <c r="E66" s="400">
        <v>23.583362962962966</v>
      </c>
      <c r="F66" s="402" t="s">
        <v>85</v>
      </c>
      <c r="G66" s="65" t="s">
        <v>86</v>
      </c>
      <c r="H66" s="66" t="s">
        <v>25</v>
      </c>
      <c r="I66" s="81">
        <v>0</v>
      </c>
      <c r="J66" s="81">
        <v>2.0080465116279065</v>
      </c>
      <c r="K66" s="81">
        <v>3.6591069767441855</v>
      </c>
      <c r="L66" s="81">
        <v>0</v>
      </c>
      <c r="M66" s="81">
        <v>0</v>
      </c>
      <c r="N66" s="63" t="s">
        <v>196</v>
      </c>
      <c r="O66" s="82"/>
    </row>
    <row r="67" spans="2:23" ht="24.75" customHeight="1" x14ac:dyDescent="0.25">
      <c r="C67" s="398"/>
      <c r="D67" s="399"/>
      <c r="E67" s="401"/>
      <c r="F67" s="402"/>
      <c r="G67" s="65" t="s">
        <v>86</v>
      </c>
      <c r="H67" s="66" t="s">
        <v>25</v>
      </c>
      <c r="I67" s="81">
        <v>0</v>
      </c>
      <c r="J67" s="81">
        <v>7.8090697674418594</v>
      </c>
      <c r="K67" s="81">
        <v>18.131916279069767</v>
      </c>
      <c r="L67" s="81">
        <v>0</v>
      </c>
      <c r="M67" s="81">
        <v>0</v>
      </c>
      <c r="N67" s="63" t="s">
        <v>197</v>
      </c>
      <c r="O67" s="82"/>
    </row>
    <row r="68" spans="2:23" x14ac:dyDescent="0.25">
      <c r="C68" s="63" t="s">
        <v>198</v>
      </c>
      <c r="D68" s="63" t="s">
        <v>199</v>
      </c>
      <c r="E68" s="370"/>
      <c r="F68" s="64" t="s">
        <v>85</v>
      </c>
      <c r="G68" s="65" t="s">
        <v>86</v>
      </c>
      <c r="H68" s="66" t="s">
        <v>25</v>
      </c>
      <c r="I68" s="370"/>
      <c r="J68" s="370"/>
      <c r="K68" s="370"/>
      <c r="L68" s="370"/>
      <c r="M68" s="370"/>
      <c r="N68" s="83"/>
      <c r="O68" s="82"/>
      <c r="P68" s="6"/>
    </row>
    <row r="69" spans="2:23" x14ac:dyDescent="0.25">
      <c r="C69" s="63" t="s">
        <v>200</v>
      </c>
      <c r="D69" s="63" t="s">
        <v>201</v>
      </c>
      <c r="E69" s="370"/>
      <c r="F69" s="64" t="s">
        <v>85</v>
      </c>
      <c r="G69" s="65" t="s">
        <v>86</v>
      </c>
      <c r="H69" s="66" t="s">
        <v>25</v>
      </c>
      <c r="I69" s="370"/>
      <c r="J69" s="370"/>
      <c r="K69" s="370"/>
      <c r="L69" s="370"/>
      <c r="M69" s="370"/>
      <c r="N69" s="83"/>
      <c r="O69" s="82"/>
      <c r="P69" s="6"/>
    </row>
    <row r="70" spans="2:23" x14ac:dyDescent="0.25">
      <c r="C70" s="63" t="s">
        <v>202</v>
      </c>
      <c r="D70" s="63" t="s">
        <v>203</v>
      </c>
      <c r="E70" s="370"/>
      <c r="F70" s="64" t="s">
        <v>85</v>
      </c>
      <c r="G70" s="65" t="s">
        <v>86</v>
      </c>
      <c r="H70" s="66" t="s">
        <v>25</v>
      </c>
      <c r="I70" s="370"/>
      <c r="J70" s="370"/>
      <c r="K70" s="370"/>
      <c r="L70" s="370"/>
      <c r="M70" s="370"/>
      <c r="N70" s="83"/>
      <c r="O70" s="82"/>
      <c r="P70" s="6"/>
    </row>
    <row r="71" spans="2:23" x14ac:dyDescent="0.25">
      <c r="C71" s="63" t="s">
        <v>204</v>
      </c>
      <c r="D71" s="63" t="s">
        <v>205</v>
      </c>
      <c r="E71" s="81">
        <f t="shared" ref="E71:E77" si="0">SUM(I71:M71)</f>
        <v>54.323421346402782</v>
      </c>
      <c r="F71" s="64" t="s">
        <v>85</v>
      </c>
      <c r="G71" s="65" t="s">
        <v>86</v>
      </c>
      <c r="H71" s="66" t="s">
        <v>25</v>
      </c>
      <c r="I71" s="81">
        <v>17.106573023255812</v>
      </c>
      <c r="J71" s="81">
        <v>3.182915551001432</v>
      </c>
      <c r="K71" s="81">
        <v>0</v>
      </c>
      <c r="L71" s="81">
        <v>30.203832018803993</v>
      </c>
      <c r="M71" s="81">
        <v>3.8301007533415401</v>
      </c>
      <c r="N71" s="83"/>
      <c r="O71" s="82"/>
      <c r="P71" s="6"/>
    </row>
    <row r="72" spans="2:23" ht="45" x14ac:dyDescent="0.25">
      <c r="C72" s="404" t="s">
        <v>206</v>
      </c>
      <c r="D72" s="84" t="s">
        <v>207</v>
      </c>
      <c r="E72" s="85">
        <f t="shared" si="0"/>
        <v>13.845065722952473</v>
      </c>
      <c r="F72" s="86" t="s">
        <v>85</v>
      </c>
      <c r="G72" s="87" t="s">
        <v>86</v>
      </c>
      <c r="H72" s="66" t="s">
        <v>25</v>
      </c>
      <c r="I72" s="88">
        <v>0</v>
      </c>
      <c r="J72" s="88">
        <v>6.0629423660262889</v>
      </c>
      <c r="K72" s="88">
        <v>0</v>
      </c>
      <c r="L72" s="88">
        <v>7.782123356926185</v>
      </c>
      <c r="M72" s="88">
        <v>0</v>
      </c>
      <c r="N72" s="63"/>
      <c r="O72" s="82"/>
      <c r="W72" t="s">
        <v>208</v>
      </c>
    </row>
    <row r="73" spans="2:23" x14ac:dyDescent="0.25">
      <c r="C73" s="404"/>
      <c r="D73" s="84" t="s">
        <v>209</v>
      </c>
      <c r="E73" s="85">
        <f t="shared" si="0"/>
        <v>0.52060465116279064</v>
      </c>
      <c r="F73" s="64" t="s">
        <v>85</v>
      </c>
      <c r="G73" s="65" t="s">
        <v>86</v>
      </c>
      <c r="H73" s="66" t="s">
        <v>26</v>
      </c>
      <c r="I73" s="81">
        <v>0</v>
      </c>
      <c r="J73" s="81">
        <v>0</v>
      </c>
      <c r="K73" s="81">
        <v>0</v>
      </c>
      <c r="L73" s="81">
        <v>0.52060465116279064</v>
      </c>
      <c r="M73" s="81">
        <v>0</v>
      </c>
      <c r="N73" s="63"/>
      <c r="O73" s="82"/>
      <c r="W73" t="s">
        <v>210</v>
      </c>
    </row>
    <row r="74" spans="2:23" ht="30" x14ac:dyDescent="0.25">
      <c r="C74" s="404"/>
      <c r="D74" s="89" t="s">
        <v>211</v>
      </c>
      <c r="E74" s="85">
        <f t="shared" si="0"/>
        <v>3.0702704609462703</v>
      </c>
      <c r="F74" s="86" t="s">
        <v>85</v>
      </c>
      <c r="G74" s="87" t="s">
        <v>86</v>
      </c>
      <c r="H74" s="90" t="s">
        <v>26</v>
      </c>
      <c r="I74" s="88">
        <v>0</v>
      </c>
      <c r="J74" s="88">
        <v>0.14959903769045707</v>
      </c>
      <c r="K74" s="88">
        <v>0</v>
      </c>
      <c r="L74" s="88">
        <v>2.9206714232558131</v>
      </c>
      <c r="M74" s="88">
        <v>0</v>
      </c>
      <c r="N74" s="91"/>
      <c r="O74" s="82"/>
      <c r="W74" t="s">
        <v>212</v>
      </c>
    </row>
    <row r="75" spans="2:23" x14ac:dyDescent="0.25">
      <c r="C75" s="404"/>
      <c r="D75" s="89" t="s">
        <v>213</v>
      </c>
      <c r="E75" s="85">
        <f t="shared" si="0"/>
        <v>36.225162831858405</v>
      </c>
      <c r="F75" s="86" t="s">
        <v>85</v>
      </c>
      <c r="G75" s="87" t="s">
        <v>86</v>
      </c>
      <c r="H75" s="90" t="s">
        <v>25</v>
      </c>
      <c r="I75" s="92">
        <v>11.725162831858405</v>
      </c>
      <c r="J75" s="92">
        <v>3</v>
      </c>
      <c r="K75" s="92">
        <v>1.5</v>
      </c>
      <c r="L75" s="92">
        <v>20</v>
      </c>
      <c r="M75" s="92">
        <v>0</v>
      </c>
      <c r="N75" s="91"/>
      <c r="O75" s="82"/>
      <c r="W75" t="s">
        <v>214</v>
      </c>
    </row>
    <row r="76" spans="2:23" x14ac:dyDescent="0.25">
      <c r="C76" s="404"/>
      <c r="D76" s="89" t="s">
        <v>215</v>
      </c>
      <c r="E76" s="85">
        <f t="shared" si="0"/>
        <v>62.716765012148542</v>
      </c>
      <c r="F76" s="86" t="s">
        <v>85</v>
      </c>
      <c r="G76" s="87" t="s">
        <v>86</v>
      </c>
      <c r="H76" s="90" t="s">
        <v>25</v>
      </c>
      <c r="I76" s="92">
        <v>21.323700104130506</v>
      </c>
      <c r="J76" s="92">
        <v>6.8988441513363394</v>
      </c>
      <c r="K76" s="92">
        <v>4.3901735508503981</v>
      </c>
      <c r="L76" s="92">
        <v>23.832370704616444</v>
      </c>
      <c r="M76" s="92">
        <v>6.2716765012148539</v>
      </c>
      <c r="N76" s="91"/>
      <c r="O76" s="82"/>
      <c r="W76" t="s">
        <v>216</v>
      </c>
    </row>
    <row r="77" spans="2:23" x14ac:dyDescent="0.25">
      <c r="C77" s="404"/>
      <c r="D77" s="63" t="s">
        <v>217</v>
      </c>
      <c r="E77" s="67">
        <f t="shared" si="0"/>
        <v>12.350725581395347</v>
      </c>
      <c r="F77" s="64" t="s">
        <v>85</v>
      </c>
      <c r="G77" s="65" t="s">
        <v>91</v>
      </c>
      <c r="H77" s="66" t="s">
        <v>90</v>
      </c>
      <c r="I77" s="67">
        <v>12.350725581395347</v>
      </c>
      <c r="J77" s="81">
        <v>0</v>
      </c>
      <c r="K77" s="81">
        <v>0</v>
      </c>
      <c r="L77" s="81">
        <v>0</v>
      </c>
      <c r="M77" s="81">
        <v>0</v>
      </c>
      <c r="N77" s="63"/>
      <c r="O77" s="82"/>
    </row>
    <row r="78" spans="2:23" x14ac:dyDescent="0.25">
      <c r="C78" s="404"/>
      <c r="D78" s="93" t="s">
        <v>218</v>
      </c>
      <c r="E78" s="67">
        <f>SUM(I78:M78)</f>
        <v>8.3465320930232547</v>
      </c>
      <c r="F78" s="64" t="s">
        <v>85</v>
      </c>
      <c r="G78" s="65" t="s">
        <v>91</v>
      </c>
      <c r="H78" s="66" t="s">
        <v>90</v>
      </c>
      <c r="I78" s="67">
        <v>8.3465320930232547</v>
      </c>
      <c r="J78" s="81">
        <v>0</v>
      </c>
      <c r="K78" s="81">
        <v>0</v>
      </c>
      <c r="L78" s="81">
        <v>0</v>
      </c>
      <c r="M78" s="81">
        <v>0</v>
      </c>
      <c r="N78" s="63"/>
      <c r="O78" s="82"/>
    </row>
    <row r="80" spans="2:23" x14ac:dyDescent="0.25">
      <c r="B80" s="3" t="s">
        <v>219</v>
      </c>
      <c r="E80" s="94"/>
      <c r="F80" s="95"/>
      <c r="G80" s="96"/>
      <c r="H80" s="96"/>
      <c r="I80" s="94"/>
      <c r="J80" s="94"/>
      <c r="K80" s="95"/>
      <c r="L80" s="94"/>
    </row>
    <row r="81" spans="2:15" ht="14.45" customHeight="1" x14ac:dyDescent="0.25">
      <c r="C81" s="13"/>
      <c r="D81" s="13"/>
      <c r="E81" s="60" t="s">
        <v>101</v>
      </c>
      <c r="F81" s="13"/>
      <c r="G81" s="12"/>
      <c r="H81" s="12"/>
      <c r="I81" s="13"/>
      <c r="J81" s="76"/>
      <c r="K81" s="393" t="s">
        <v>21</v>
      </c>
      <c r="L81" s="393" t="s">
        <v>22</v>
      </c>
      <c r="M81" s="77"/>
      <c r="N81" s="78"/>
    </row>
    <row r="82" spans="2:15" x14ac:dyDescent="0.25">
      <c r="C82" s="61" t="s">
        <v>103</v>
      </c>
      <c r="D82" s="61" t="s">
        <v>104</v>
      </c>
      <c r="E82" s="62" t="s">
        <v>105</v>
      </c>
      <c r="F82" s="61" t="s">
        <v>106</v>
      </c>
      <c r="G82" s="61" t="s">
        <v>5</v>
      </c>
      <c r="H82" s="61" t="s">
        <v>18</v>
      </c>
      <c r="I82" s="61" t="s">
        <v>19</v>
      </c>
      <c r="J82" s="62" t="s">
        <v>66</v>
      </c>
      <c r="K82" s="393"/>
      <c r="L82" s="393"/>
      <c r="M82" s="80" t="s">
        <v>23</v>
      </c>
      <c r="N82" s="97"/>
    </row>
    <row r="83" spans="2:15" x14ac:dyDescent="0.25">
      <c r="C83" s="395" t="s">
        <v>220</v>
      </c>
      <c r="D83" s="98" t="s">
        <v>221</v>
      </c>
      <c r="E83" s="67">
        <f>SUM(I83:M83)</f>
        <v>2.4398451616262502</v>
      </c>
      <c r="F83" s="64" t="s">
        <v>85</v>
      </c>
      <c r="G83" s="65" t="s">
        <v>86</v>
      </c>
      <c r="H83" s="66" t="s">
        <v>26</v>
      </c>
      <c r="I83" s="67">
        <v>0.71413154469158702</v>
      </c>
      <c r="J83" s="67">
        <v>0.3575228334887508</v>
      </c>
      <c r="K83" s="81">
        <v>0</v>
      </c>
      <c r="L83" s="67">
        <v>1.3681907834459122</v>
      </c>
      <c r="M83" s="67">
        <v>0</v>
      </c>
      <c r="N83" s="63"/>
      <c r="O83" s="82"/>
    </row>
    <row r="84" spans="2:15" x14ac:dyDescent="0.25">
      <c r="C84" s="396"/>
      <c r="D84" s="93" t="s">
        <v>222</v>
      </c>
      <c r="E84" s="81">
        <f t="shared" ref="E84:E86" si="1">SUM(I84:M84)</f>
        <v>1.2199225808131251</v>
      </c>
      <c r="F84" s="64" t="s">
        <v>85</v>
      </c>
      <c r="G84" s="65" t="s">
        <v>86</v>
      </c>
      <c r="H84" s="66" t="s">
        <v>26</v>
      </c>
      <c r="I84" s="67">
        <v>0.35706577234579351</v>
      </c>
      <c r="J84" s="67">
        <v>0.1787614167443754</v>
      </c>
      <c r="K84" s="81">
        <v>0</v>
      </c>
      <c r="L84" s="67">
        <v>0.68409539172295608</v>
      </c>
      <c r="M84" s="67">
        <v>0</v>
      </c>
      <c r="N84" s="63"/>
      <c r="O84" s="82"/>
    </row>
    <row r="85" spans="2:15" x14ac:dyDescent="0.25">
      <c r="C85" s="395" t="s">
        <v>223</v>
      </c>
      <c r="D85" s="63" t="s">
        <v>224</v>
      </c>
      <c r="E85" s="67">
        <f t="shared" si="1"/>
        <v>0.29447513812154696</v>
      </c>
      <c r="F85" s="64" t="s">
        <v>85</v>
      </c>
      <c r="G85" s="65" t="s">
        <v>86</v>
      </c>
      <c r="H85" s="66" t="s">
        <v>26</v>
      </c>
      <c r="I85" s="67">
        <v>0</v>
      </c>
      <c r="J85" s="67">
        <v>0.29447513812154696</v>
      </c>
      <c r="K85" s="67">
        <v>0</v>
      </c>
      <c r="L85" s="67">
        <v>0</v>
      </c>
      <c r="M85" s="67">
        <v>0</v>
      </c>
      <c r="N85" s="63"/>
    </row>
    <row r="86" spans="2:15" x14ac:dyDescent="0.25">
      <c r="C86" s="397"/>
      <c r="D86" s="63" t="s">
        <v>225</v>
      </c>
      <c r="E86" s="67">
        <f t="shared" si="1"/>
        <v>9.8158379373848987</v>
      </c>
      <c r="F86" s="64" t="s">
        <v>85</v>
      </c>
      <c r="G86" s="65" t="s">
        <v>86</v>
      </c>
      <c r="H86" s="66" t="s">
        <v>26</v>
      </c>
      <c r="I86" s="67">
        <v>0</v>
      </c>
      <c r="J86" s="67">
        <v>9.8158379373848987</v>
      </c>
      <c r="K86" s="67">
        <v>0</v>
      </c>
      <c r="L86" s="67">
        <v>0</v>
      </c>
      <c r="M86" s="67">
        <v>0</v>
      </c>
      <c r="N86" s="63"/>
    </row>
    <row r="87" spans="2:15" x14ac:dyDescent="0.25">
      <c r="C87" s="397"/>
      <c r="D87" s="63" t="s">
        <v>226</v>
      </c>
      <c r="E87" s="67">
        <f>SUM(I87:M87)</f>
        <v>20.858655616942912</v>
      </c>
      <c r="F87" s="64" t="s">
        <v>85</v>
      </c>
      <c r="G87" s="65" t="s">
        <v>86</v>
      </c>
      <c r="H87" s="66" t="s">
        <v>26</v>
      </c>
      <c r="I87" s="67">
        <v>4.9079189686924494</v>
      </c>
      <c r="J87" s="67">
        <v>0</v>
      </c>
      <c r="K87" s="67">
        <v>0</v>
      </c>
      <c r="L87" s="67">
        <v>15.95073664825046</v>
      </c>
      <c r="M87" s="67">
        <v>0</v>
      </c>
      <c r="N87" s="63"/>
    </row>
    <row r="88" spans="2:15" x14ac:dyDescent="0.25">
      <c r="C88" s="396"/>
      <c r="D88" s="63" t="s">
        <v>227</v>
      </c>
      <c r="E88" s="67">
        <f>SUM(I88:M88)</f>
        <v>0.50583473082974761</v>
      </c>
      <c r="F88" s="64" t="s">
        <v>85</v>
      </c>
      <c r="G88" s="65" t="s">
        <v>86</v>
      </c>
      <c r="H88" s="66" t="s">
        <v>26</v>
      </c>
      <c r="I88" s="72">
        <v>4.7168141592920348E-2</v>
      </c>
      <c r="J88" s="67">
        <v>0</v>
      </c>
      <c r="K88" s="67">
        <v>0</v>
      </c>
      <c r="L88" s="67">
        <v>0.45866658923682724</v>
      </c>
      <c r="M88" s="67">
        <v>0</v>
      </c>
      <c r="N88" s="63" t="s">
        <v>228</v>
      </c>
    </row>
    <row r="89" spans="2:15" x14ac:dyDescent="0.25">
      <c r="C89" s="99" t="s">
        <v>23</v>
      </c>
      <c r="D89" s="63" t="s">
        <v>229</v>
      </c>
      <c r="E89" s="67">
        <f>SUM(I89:M89)</f>
        <v>65.766114180478823</v>
      </c>
      <c r="F89" s="64" t="s">
        <v>85</v>
      </c>
      <c r="G89" s="65" t="s">
        <v>86</v>
      </c>
      <c r="H89" s="66" t="s">
        <v>25</v>
      </c>
      <c r="I89" s="67">
        <v>29.447513812154696</v>
      </c>
      <c r="J89" s="67">
        <v>0</v>
      </c>
      <c r="K89" s="67">
        <v>0</v>
      </c>
      <c r="L89" s="67">
        <v>36.318600368324127</v>
      </c>
      <c r="M89" s="67">
        <v>0</v>
      </c>
      <c r="N89" s="63"/>
    </row>
    <row r="91" spans="2:15" x14ac:dyDescent="0.25">
      <c r="B91" s="3" t="s">
        <v>230</v>
      </c>
    </row>
    <row r="92" spans="2:15" ht="14.45" customHeight="1" x14ac:dyDescent="0.25">
      <c r="C92" s="13"/>
      <c r="D92" s="13"/>
      <c r="E92" s="60" t="s">
        <v>101</v>
      </c>
      <c r="F92" s="13"/>
      <c r="G92" s="12"/>
      <c r="H92" s="12"/>
      <c r="I92" s="13"/>
      <c r="J92" s="76"/>
      <c r="K92" s="393" t="s">
        <v>21</v>
      </c>
      <c r="L92" s="393" t="s">
        <v>22</v>
      </c>
      <c r="M92" s="77"/>
      <c r="N92" s="78"/>
    </row>
    <row r="93" spans="2:15" x14ac:dyDescent="0.25">
      <c r="C93" s="61" t="s">
        <v>103</v>
      </c>
      <c r="D93" s="61" t="s">
        <v>104</v>
      </c>
      <c r="E93" s="62" t="s">
        <v>105</v>
      </c>
      <c r="F93" s="61" t="s">
        <v>106</v>
      </c>
      <c r="G93" s="61" t="s">
        <v>5</v>
      </c>
      <c r="H93" s="61" t="s">
        <v>18</v>
      </c>
      <c r="I93" s="61" t="s">
        <v>19</v>
      </c>
      <c r="J93" s="62" t="s">
        <v>66</v>
      </c>
      <c r="K93" s="393"/>
      <c r="L93" s="393"/>
      <c r="M93" s="80" t="s">
        <v>23</v>
      </c>
      <c r="N93" s="97"/>
    </row>
    <row r="94" spans="2:15" x14ac:dyDescent="0.25">
      <c r="C94" s="63" t="s">
        <v>231</v>
      </c>
      <c r="D94" s="63" t="s">
        <v>232</v>
      </c>
      <c r="E94" s="81">
        <f>SUM(I94:M94)</f>
        <v>50.998181121378813</v>
      </c>
      <c r="F94" s="64" t="s">
        <v>85</v>
      </c>
      <c r="G94" s="65" t="s">
        <v>86</v>
      </c>
      <c r="H94" s="66" t="s">
        <v>26</v>
      </c>
      <c r="I94" s="67">
        <v>14.150442477876103</v>
      </c>
      <c r="J94" s="67">
        <v>2.2999285577455097</v>
      </c>
      <c r="K94" s="67">
        <v>4.403199256673541</v>
      </c>
      <c r="L94" s="67">
        <v>30.144610829083657</v>
      </c>
      <c r="M94" s="67">
        <v>0</v>
      </c>
      <c r="N94" s="63"/>
    </row>
    <row r="95" spans="2:15" x14ac:dyDescent="0.25">
      <c r="C95" s="63" t="s">
        <v>233</v>
      </c>
      <c r="D95" s="63" t="s">
        <v>234</v>
      </c>
      <c r="E95" s="81">
        <f t="shared" ref="E95:E97" si="2">SUM(I95:M95)</f>
        <v>62.716765012148542</v>
      </c>
      <c r="F95" s="64" t="s">
        <v>85</v>
      </c>
      <c r="G95" s="65" t="s">
        <v>86</v>
      </c>
      <c r="H95" s="66" t="s">
        <v>26</v>
      </c>
      <c r="I95" s="81">
        <v>21.323700104130506</v>
      </c>
      <c r="J95" s="81">
        <v>6.8988441513363394</v>
      </c>
      <c r="K95" s="81">
        <v>4.3901735508503981</v>
      </c>
      <c r="L95" s="81">
        <v>23.832370704616444</v>
      </c>
      <c r="M95" s="81">
        <v>6.2716765012148539</v>
      </c>
      <c r="N95" s="63"/>
    </row>
    <row r="96" spans="2:15" x14ac:dyDescent="0.25">
      <c r="C96" s="63" t="s">
        <v>235</v>
      </c>
      <c r="D96" s="63" t="s">
        <v>236</v>
      </c>
      <c r="E96" s="81">
        <f t="shared" si="2"/>
        <v>46.582464651162795</v>
      </c>
      <c r="F96" s="64" t="s">
        <v>85</v>
      </c>
      <c r="G96" s="65" t="s">
        <v>86</v>
      </c>
      <c r="H96" s="66" t="s">
        <v>26</v>
      </c>
      <c r="I96" s="81">
        <v>14.297621705426357</v>
      </c>
      <c r="J96" s="67">
        <v>21.812963023255811</v>
      </c>
      <c r="K96" s="67">
        <v>0</v>
      </c>
      <c r="L96" s="67">
        <v>10.471879922480621</v>
      </c>
      <c r="M96" s="81">
        <v>0</v>
      </c>
      <c r="N96" s="63"/>
    </row>
    <row r="97" spans="2:23" x14ac:dyDescent="0.25">
      <c r="C97" s="63" t="s">
        <v>237</v>
      </c>
      <c r="D97" s="63" t="s">
        <v>238</v>
      </c>
      <c r="E97" s="81">
        <f t="shared" si="2"/>
        <v>337.0941791069767</v>
      </c>
      <c r="F97" s="64" t="s">
        <v>85</v>
      </c>
      <c r="G97" s="65" t="s">
        <v>86</v>
      </c>
      <c r="H97" s="66" t="s">
        <v>26</v>
      </c>
      <c r="I97" s="81">
        <v>182.28643631627907</v>
      </c>
      <c r="J97" s="67">
        <v>33.832484883720923</v>
      </c>
      <c r="K97" s="67">
        <v>0</v>
      </c>
      <c r="L97" s="67">
        <v>120.97525790697672</v>
      </c>
      <c r="M97" s="81">
        <v>0</v>
      </c>
      <c r="N97" s="63"/>
    </row>
    <row r="98" spans="2:23" x14ac:dyDescent="0.25">
      <c r="F98" s="100"/>
    </row>
    <row r="100" spans="2:23" x14ac:dyDescent="0.25">
      <c r="B100" s="3" t="s">
        <v>239</v>
      </c>
      <c r="E100" s="23"/>
      <c r="I100" s="101"/>
    </row>
    <row r="101" spans="2:23" ht="14.45" customHeight="1" x14ac:dyDescent="0.25">
      <c r="C101" s="13"/>
      <c r="D101" s="13"/>
      <c r="E101" s="60" t="s">
        <v>101</v>
      </c>
      <c r="F101" s="13"/>
      <c r="G101" s="12"/>
      <c r="H101" s="12"/>
      <c r="I101" s="13"/>
      <c r="J101" s="76"/>
      <c r="K101" s="393" t="s">
        <v>21</v>
      </c>
      <c r="L101" s="393" t="s">
        <v>22</v>
      </c>
      <c r="M101" s="77"/>
      <c r="N101" s="78"/>
    </row>
    <row r="102" spans="2:23" x14ac:dyDescent="0.25">
      <c r="C102" s="61" t="s">
        <v>103</v>
      </c>
      <c r="D102" s="61" t="s">
        <v>104</v>
      </c>
      <c r="E102" s="62" t="s">
        <v>105</v>
      </c>
      <c r="F102" s="61" t="s">
        <v>106</v>
      </c>
      <c r="G102" s="61" t="s">
        <v>5</v>
      </c>
      <c r="H102" s="61" t="s">
        <v>18</v>
      </c>
      <c r="I102" s="61" t="s">
        <v>19</v>
      </c>
      <c r="J102" s="62" t="s">
        <v>66</v>
      </c>
      <c r="K102" s="393"/>
      <c r="L102" s="393"/>
      <c r="M102" s="80" t="s">
        <v>23</v>
      </c>
      <c r="N102" s="97"/>
    </row>
    <row r="103" spans="2:23" ht="45" x14ac:dyDescent="0.25">
      <c r="C103" s="403" t="s">
        <v>240</v>
      </c>
      <c r="D103" s="84" t="s">
        <v>241</v>
      </c>
      <c r="E103" s="92">
        <f>SUM(I103:M103)</f>
        <v>0</v>
      </c>
      <c r="F103" s="86" t="s">
        <v>85</v>
      </c>
      <c r="G103" s="87" t="s">
        <v>86</v>
      </c>
      <c r="H103" s="90" t="s">
        <v>25</v>
      </c>
      <c r="I103" s="102"/>
      <c r="J103" s="102"/>
      <c r="K103" s="102"/>
      <c r="L103" s="102"/>
      <c r="M103" s="102"/>
      <c r="N103" s="63" t="s">
        <v>242</v>
      </c>
    </row>
    <row r="104" spans="2:23" x14ac:dyDescent="0.25">
      <c r="C104" s="403"/>
      <c r="D104" s="84" t="s">
        <v>243</v>
      </c>
      <c r="E104" s="92">
        <f t="shared" ref="E104:E106" si="3">SUM(I104:M104)</f>
        <v>0</v>
      </c>
      <c r="F104" s="86" t="s">
        <v>85</v>
      </c>
      <c r="G104" s="87" t="s">
        <v>86</v>
      </c>
      <c r="H104" s="90" t="s">
        <v>25</v>
      </c>
      <c r="I104" s="102"/>
      <c r="J104" s="102"/>
      <c r="K104" s="102"/>
      <c r="L104" s="102"/>
      <c r="M104" s="102"/>
      <c r="N104" s="63" t="s">
        <v>242</v>
      </c>
    </row>
    <row r="105" spans="2:23" x14ac:dyDescent="0.25">
      <c r="C105" s="403"/>
      <c r="D105" s="84" t="s">
        <v>244</v>
      </c>
      <c r="E105" s="92">
        <f t="shared" si="3"/>
        <v>0</v>
      </c>
      <c r="F105" s="86" t="s">
        <v>85</v>
      </c>
      <c r="G105" s="87" t="s">
        <v>86</v>
      </c>
      <c r="H105" s="90" t="s">
        <v>25</v>
      </c>
      <c r="I105" s="102"/>
      <c r="J105" s="102"/>
      <c r="K105" s="102"/>
      <c r="L105" s="102"/>
      <c r="M105" s="102"/>
      <c r="N105" s="63" t="s">
        <v>242</v>
      </c>
    </row>
    <row r="106" spans="2:23" x14ac:dyDescent="0.25">
      <c r="C106" s="403"/>
      <c r="D106" s="84" t="s">
        <v>245</v>
      </c>
      <c r="E106" s="92">
        <f t="shared" si="3"/>
        <v>89.424413325146105</v>
      </c>
      <c r="F106" s="86" t="s">
        <v>85</v>
      </c>
      <c r="G106" s="87" t="s">
        <v>86</v>
      </c>
      <c r="H106" s="90" t="s">
        <v>26</v>
      </c>
      <c r="I106" s="92">
        <v>30.885851347412974</v>
      </c>
      <c r="J106" s="92">
        <v>9.7380492672560433</v>
      </c>
      <c r="K106" s="92">
        <v>6.2099623918519153</v>
      </c>
      <c r="L106" s="92">
        <v>33.533796916000327</v>
      </c>
      <c r="M106" s="92">
        <v>9.0567534026248566</v>
      </c>
      <c r="N106" s="103"/>
      <c r="W106" t="s">
        <v>246</v>
      </c>
    </row>
    <row r="107" spans="2:23" x14ac:dyDescent="0.25">
      <c r="I107" s="20"/>
      <c r="J107" s="20"/>
      <c r="K107" s="20"/>
      <c r="L107" s="20"/>
      <c r="M107" s="20"/>
    </row>
    <row r="108" spans="2:23" ht="14.45" customHeight="1" x14ac:dyDescent="0.25">
      <c r="B108" s="3" t="s">
        <v>247</v>
      </c>
    </row>
    <row r="109" spans="2:23" ht="14.45" customHeight="1" x14ac:dyDescent="0.25">
      <c r="C109" s="13"/>
      <c r="D109" s="13"/>
      <c r="E109" s="60" t="s">
        <v>101</v>
      </c>
      <c r="F109" s="13"/>
      <c r="G109" s="12"/>
      <c r="H109" s="12"/>
      <c r="I109" s="13"/>
      <c r="J109" s="76"/>
      <c r="K109" s="393" t="s">
        <v>21</v>
      </c>
      <c r="L109" s="393" t="s">
        <v>22</v>
      </c>
      <c r="M109" s="77"/>
      <c r="N109" s="78"/>
    </row>
    <row r="110" spans="2:23" x14ac:dyDescent="0.25">
      <c r="C110" s="61" t="s">
        <v>103</v>
      </c>
      <c r="D110" s="61" t="s">
        <v>104</v>
      </c>
      <c r="E110" s="62" t="s">
        <v>105</v>
      </c>
      <c r="F110" s="61" t="s">
        <v>106</v>
      </c>
      <c r="G110" s="61" t="s">
        <v>5</v>
      </c>
      <c r="H110" s="61" t="s">
        <v>18</v>
      </c>
      <c r="I110" s="61" t="s">
        <v>19</v>
      </c>
      <c r="J110" s="62" t="s">
        <v>66</v>
      </c>
      <c r="K110" s="393"/>
      <c r="L110" s="393"/>
      <c r="M110" s="80" t="s">
        <v>23</v>
      </c>
      <c r="N110" s="97"/>
    </row>
    <row r="111" spans="2:23" x14ac:dyDescent="0.25">
      <c r="C111" s="403" t="s">
        <v>248</v>
      </c>
      <c r="D111" s="63" t="s">
        <v>249</v>
      </c>
      <c r="E111" s="373"/>
      <c r="F111" s="64" t="s">
        <v>85</v>
      </c>
      <c r="G111" s="65" t="s">
        <v>86</v>
      </c>
      <c r="H111" s="66" t="s">
        <v>26</v>
      </c>
      <c r="I111" s="370"/>
      <c r="J111" s="370"/>
      <c r="K111" s="370"/>
      <c r="L111" s="370"/>
      <c r="M111" s="370"/>
      <c r="N111" s="63"/>
    </row>
    <row r="112" spans="2:23" x14ac:dyDescent="0.25">
      <c r="C112" s="403"/>
      <c r="D112" s="104" t="s">
        <v>250</v>
      </c>
      <c r="E112" s="373"/>
      <c r="F112" s="64" t="s">
        <v>85</v>
      </c>
      <c r="G112" s="65" t="s">
        <v>2</v>
      </c>
      <c r="H112" s="66" t="s">
        <v>26</v>
      </c>
      <c r="I112" s="370"/>
      <c r="J112" s="370"/>
      <c r="K112" s="370"/>
      <c r="L112" s="370"/>
      <c r="M112" s="370"/>
      <c r="N112" s="63"/>
    </row>
    <row r="113" spans="2:14" x14ac:dyDescent="0.25">
      <c r="C113" s="403"/>
      <c r="D113" s="105" t="s">
        <v>251</v>
      </c>
      <c r="E113" s="373"/>
      <c r="F113" s="64" t="s">
        <v>85</v>
      </c>
      <c r="G113" s="65" t="s">
        <v>86</v>
      </c>
      <c r="H113" s="66" t="s">
        <v>26</v>
      </c>
      <c r="I113" s="370"/>
      <c r="J113" s="370"/>
      <c r="K113" s="370"/>
      <c r="L113" s="370"/>
      <c r="M113" s="370"/>
      <c r="N113" s="63"/>
    </row>
    <row r="114" spans="2:14" x14ac:dyDescent="0.25">
      <c r="E114" s="373"/>
      <c r="I114" s="373"/>
      <c r="J114" s="373"/>
      <c r="K114" s="373"/>
      <c r="L114" s="373"/>
      <c r="M114" s="373"/>
    </row>
    <row r="115" spans="2:14" x14ac:dyDescent="0.25">
      <c r="B115" s="3" t="s">
        <v>252</v>
      </c>
    </row>
    <row r="116" spans="2:14" ht="14.45" customHeight="1" x14ac:dyDescent="0.25">
      <c r="C116" s="13"/>
      <c r="D116" s="13"/>
      <c r="E116" s="60" t="s">
        <v>101</v>
      </c>
      <c r="F116" s="13"/>
      <c r="G116" s="12"/>
      <c r="H116" s="12"/>
      <c r="I116" s="13"/>
      <c r="J116" s="76"/>
      <c r="K116" s="393" t="s">
        <v>21</v>
      </c>
      <c r="L116" s="393" t="s">
        <v>22</v>
      </c>
      <c r="M116" s="77"/>
      <c r="N116" s="78"/>
    </row>
    <row r="117" spans="2:14" x14ac:dyDescent="0.25">
      <c r="C117" s="61" t="s">
        <v>103</v>
      </c>
      <c r="D117" s="61" t="s">
        <v>104</v>
      </c>
      <c r="E117" s="62" t="s">
        <v>105</v>
      </c>
      <c r="F117" s="61" t="s">
        <v>106</v>
      </c>
      <c r="G117" s="61" t="s">
        <v>5</v>
      </c>
      <c r="H117" s="61" t="s">
        <v>18</v>
      </c>
      <c r="I117" s="61" t="s">
        <v>19</v>
      </c>
      <c r="J117" s="62" t="s">
        <v>66</v>
      </c>
      <c r="K117" s="393"/>
      <c r="L117" s="393"/>
      <c r="M117" s="80" t="s">
        <v>23</v>
      </c>
      <c r="N117" s="97"/>
    </row>
    <row r="118" spans="2:14" ht="75" x14ac:dyDescent="0.25">
      <c r="C118" s="63" t="s">
        <v>253</v>
      </c>
      <c r="D118" s="84" t="s">
        <v>254</v>
      </c>
      <c r="E118" s="81">
        <f t="shared" ref="E118:E121" si="4">SUM(I118:M118)</f>
        <v>15.866046511627905</v>
      </c>
      <c r="F118" s="64" t="s">
        <v>85</v>
      </c>
      <c r="G118" s="65" t="s">
        <v>91</v>
      </c>
      <c r="H118" s="66" t="s">
        <v>90</v>
      </c>
      <c r="I118" s="81">
        <v>15.866046511627905</v>
      </c>
      <c r="J118" s="81">
        <v>0</v>
      </c>
      <c r="K118" s="81">
        <v>0</v>
      </c>
      <c r="L118" s="81">
        <v>0</v>
      </c>
      <c r="M118" s="81">
        <v>0</v>
      </c>
      <c r="N118" s="63"/>
    </row>
    <row r="119" spans="2:14" ht="30" x14ac:dyDescent="0.25">
      <c r="C119" s="63" t="s">
        <v>255</v>
      </c>
      <c r="D119" s="84" t="s">
        <v>256</v>
      </c>
      <c r="E119" s="81">
        <f t="shared" si="4"/>
        <v>1.8741767441860462</v>
      </c>
      <c r="F119" s="64" t="s">
        <v>85</v>
      </c>
      <c r="G119" s="65" t="s">
        <v>91</v>
      </c>
      <c r="H119" s="66" t="s">
        <v>90</v>
      </c>
      <c r="I119" s="81">
        <v>1.8741767441860462</v>
      </c>
      <c r="J119" s="81">
        <v>0</v>
      </c>
      <c r="K119" s="81">
        <v>0</v>
      </c>
      <c r="L119" s="81">
        <v>0</v>
      </c>
      <c r="M119" s="81">
        <v>0</v>
      </c>
      <c r="N119" s="63"/>
    </row>
    <row r="120" spans="2:14" ht="30" x14ac:dyDescent="0.25">
      <c r="C120" s="63" t="s">
        <v>257</v>
      </c>
      <c r="D120" s="84" t="s">
        <v>258</v>
      </c>
      <c r="E120" s="81">
        <f t="shared" si="4"/>
        <v>1.0015441860465115</v>
      </c>
      <c r="F120" s="64" t="s">
        <v>85</v>
      </c>
      <c r="G120" s="65" t="s">
        <v>91</v>
      </c>
      <c r="H120" s="66" t="s">
        <v>90</v>
      </c>
      <c r="I120" s="81">
        <v>1.0015441860465115</v>
      </c>
      <c r="J120" s="81">
        <v>0</v>
      </c>
      <c r="K120" s="81">
        <v>0</v>
      </c>
      <c r="L120" s="81">
        <v>0</v>
      </c>
      <c r="M120" s="81">
        <v>0</v>
      </c>
      <c r="N120" s="63"/>
    </row>
    <row r="121" spans="2:14" x14ac:dyDescent="0.25">
      <c r="C121" s="63" t="s">
        <v>259</v>
      </c>
      <c r="D121" s="63" t="s">
        <v>260</v>
      </c>
      <c r="E121" s="81">
        <f t="shared" si="4"/>
        <v>0.2340241860465116</v>
      </c>
      <c r="F121" s="64" t="s">
        <v>88</v>
      </c>
      <c r="G121" s="65" t="s">
        <v>91</v>
      </c>
      <c r="H121" s="66" t="s">
        <v>90</v>
      </c>
      <c r="I121" s="81">
        <v>0.2340241860465116</v>
      </c>
      <c r="J121" s="81">
        <v>0</v>
      </c>
      <c r="K121" s="81">
        <v>0</v>
      </c>
      <c r="L121" s="81">
        <v>0</v>
      </c>
      <c r="M121" s="81">
        <v>0</v>
      </c>
      <c r="N121" s="63"/>
    </row>
    <row r="123" spans="2:14" x14ac:dyDescent="0.25">
      <c r="F123" s="74"/>
    </row>
  </sheetData>
  <mergeCells count="22">
    <mergeCell ref="K116:K117"/>
    <mergeCell ref="L116:L117"/>
    <mergeCell ref="K101:K102"/>
    <mergeCell ref="L101:L102"/>
    <mergeCell ref="C103:C106"/>
    <mergeCell ref="K109:K110"/>
    <mergeCell ref="L109:L110"/>
    <mergeCell ref="C111:C113"/>
    <mergeCell ref="L92:L93"/>
    <mergeCell ref="M48:O48"/>
    <mergeCell ref="K64:K65"/>
    <mergeCell ref="L64:L65"/>
    <mergeCell ref="C72:C78"/>
    <mergeCell ref="K81:K82"/>
    <mergeCell ref="L81:L82"/>
    <mergeCell ref="C83:C84"/>
    <mergeCell ref="C85:C88"/>
    <mergeCell ref="C66:C67"/>
    <mergeCell ref="D66:D67"/>
    <mergeCell ref="E66:E67"/>
    <mergeCell ref="F66:F67"/>
    <mergeCell ref="K92:K93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Rpt_Cat!$F$3:$F$4</xm:f>
          </x14:formula1>
          <xm:sqref>F50:F60 F118:F121 F111:F113 F103:F106 F94:F97 F83:F89 F66:F78 F7:F45</xm:sqref>
        </x14:dataValidation>
        <x14:dataValidation type="list" allowBlank="1" showInputMessage="1" showErrorMessage="1">
          <x14:formula1>
            <xm:f>Rpt_Cat!$B$3:$B$8</xm:f>
          </x14:formula1>
          <xm:sqref>G103:G106 G50:G60 G66:G78 G83:G89 G94:G97 G118:G121 G111:G113 G7:G45</xm:sqref>
        </x14:dataValidation>
        <x14:dataValidation type="list" allowBlank="1" showInputMessage="1" showErrorMessage="1">
          <x14:formula1>
            <xm:f>Rpt_Cat!$D$3:$D$6</xm:f>
          </x14:formula1>
          <xm:sqref>H103:H106 H83:H89 H66:H78 H50:H60 H94:H97 H118:H121 H111:H113 H7:H45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zoomScale="85" zoomScaleNormal="85" workbookViewId="0">
      <selection activeCell="G5" sqref="G5"/>
    </sheetView>
  </sheetViews>
  <sheetFormatPr defaultRowHeight="15" x14ac:dyDescent="0.25"/>
  <cols>
    <col min="1" max="1" width="3.28515625" customWidth="1"/>
    <col min="2" max="2" width="53.140625" customWidth="1"/>
    <col min="3" max="3" width="9.7109375" customWidth="1"/>
    <col min="4" max="5" width="9.5703125" bestFit="1" customWidth="1"/>
    <col min="6" max="6" width="9.28515625" customWidth="1"/>
    <col min="7" max="10" width="9.5703125" bestFit="1" customWidth="1"/>
  </cols>
  <sheetData>
    <row r="1" spans="2:13" x14ac:dyDescent="0.25">
      <c r="B1" s="11" t="s">
        <v>35</v>
      </c>
    </row>
    <row r="2" spans="2:13" x14ac:dyDescent="0.25">
      <c r="B2" s="106" t="s">
        <v>296</v>
      </c>
    </row>
    <row r="3" spans="2:13" x14ac:dyDescent="0.25">
      <c r="B3" s="23" t="s">
        <v>36</v>
      </c>
      <c r="C3" s="2" t="s">
        <v>37</v>
      </c>
      <c r="D3" s="2" t="s">
        <v>38</v>
      </c>
      <c r="E3" s="2" t="s">
        <v>38</v>
      </c>
      <c r="F3" s="2" t="s">
        <v>38</v>
      </c>
      <c r="G3" s="2" t="s">
        <v>38</v>
      </c>
      <c r="H3" s="2" t="s">
        <v>39</v>
      </c>
      <c r="I3" s="2" t="s">
        <v>39</v>
      </c>
      <c r="J3" s="2" t="s">
        <v>39</v>
      </c>
      <c r="K3" s="2" t="s">
        <v>39</v>
      </c>
      <c r="L3" s="2" t="s">
        <v>39</v>
      </c>
      <c r="M3" s="2" t="s">
        <v>39</v>
      </c>
    </row>
    <row r="4" spans="2:13" x14ac:dyDescent="0.25">
      <c r="C4" s="2">
        <v>2015</v>
      </c>
      <c r="D4" s="2">
        <v>2016</v>
      </c>
      <c r="E4" s="2">
        <v>2017</v>
      </c>
      <c r="F4" s="2">
        <v>2018</v>
      </c>
      <c r="G4" s="2">
        <v>2019</v>
      </c>
      <c r="H4" s="2">
        <v>2020</v>
      </c>
      <c r="I4" s="2">
        <v>2021</v>
      </c>
      <c r="J4" s="2">
        <v>2022</v>
      </c>
      <c r="K4" s="2">
        <v>2023</v>
      </c>
      <c r="L4" s="2">
        <v>2024</v>
      </c>
      <c r="M4" s="2">
        <v>2025</v>
      </c>
    </row>
    <row r="5" spans="2:13" x14ac:dyDescent="0.25">
      <c r="B5" t="s">
        <v>40</v>
      </c>
      <c r="C5" s="24">
        <f>(106.4/104)-1</f>
        <v>2.3076923076923217E-2</v>
      </c>
      <c r="D5" s="25">
        <v>1.5108593012275628E-2</v>
      </c>
      <c r="E5" s="25">
        <v>1.0232558139534831E-2</v>
      </c>
      <c r="F5" s="25">
        <v>1.9337016574585641E-2</v>
      </c>
      <c r="G5" s="26">
        <v>2.0776874435411097E-2</v>
      </c>
      <c r="H5" s="26">
        <v>2.2499999999999999E-2</v>
      </c>
      <c r="I5" s="26">
        <v>2.4500000000000001E-2</v>
      </c>
      <c r="J5" s="26">
        <v>2.4500000000000001E-2</v>
      </c>
      <c r="K5" s="26">
        <v>2.4500000000000001E-2</v>
      </c>
      <c r="L5" s="26">
        <v>2.4500000000000001E-2</v>
      </c>
      <c r="M5" s="26">
        <v>2.4500000000000001E-2</v>
      </c>
    </row>
    <row r="6" spans="2:13" x14ac:dyDescent="0.25">
      <c r="B6" t="s">
        <v>41</v>
      </c>
      <c r="D6" s="25">
        <v>2.34949725108347E-2</v>
      </c>
      <c r="E6" s="25">
        <v>2.34949725108347E-2</v>
      </c>
      <c r="F6" s="25">
        <v>2.34949725108347E-2</v>
      </c>
      <c r="G6" s="25">
        <v>2.34949725108347E-2</v>
      </c>
      <c r="H6" s="25">
        <v>2.34949725108347E-2</v>
      </c>
      <c r="I6" s="25">
        <v>2.34949725108347E-2</v>
      </c>
      <c r="J6" s="25">
        <v>2.34949725108347E-2</v>
      </c>
      <c r="K6" s="25">
        <v>2.34949725108347E-2</v>
      </c>
      <c r="L6" s="25">
        <v>2.34949725108347E-2</v>
      </c>
      <c r="M6" s="25">
        <v>2.34949725108347E-2</v>
      </c>
    </row>
    <row r="7" spans="2:13" x14ac:dyDescent="0.25">
      <c r="B7" s="27" t="s">
        <v>42</v>
      </c>
      <c r="C7" s="28">
        <f>1+C5</f>
        <v>1.0230769230769232</v>
      </c>
      <c r="D7" s="28">
        <f>C7*(1+D5)</f>
        <v>1.0385341759279436</v>
      </c>
      <c r="E7" s="28">
        <f>D7*(1+E5)</f>
        <v>1.0491610372630202</v>
      </c>
      <c r="F7" s="28">
        <f>E7*(1+F5)</f>
        <v>1.0694486816299846</v>
      </c>
      <c r="G7" s="28">
        <f>F7*(1+G5)</f>
        <v>1.0916684826033267</v>
      </c>
      <c r="H7" s="29"/>
      <c r="I7" s="29"/>
      <c r="J7" s="29"/>
      <c r="K7" s="29"/>
    </row>
    <row r="8" spans="2:13" x14ac:dyDescent="0.25">
      <c r="B8" s="27" t="s">
        <v>43</v>
      </c>
      <c r="C8" s="28">
        <v>1</v>
      </c>
      <c r="D8" s="28">
        <f t="shared" ref="D8:M9" si="0">C8*(1+D5)</f>
        <v>1.0151085930122756</v>
      </c>
      <c r="E8" s="28">
        <f t="shared" si="0"/>
        <v>1.0254957507082152</v>
      </c>
      <c r="F8" s="28">
        <f t="shared" si="0"/>
        <v>1.0453257790368271</v>
      </c>
      <c r="G8" s="28">
        <f t="shared" si="0"/>
        <v>1.0670443814919734</v>
      </c>
      <c r="H8" s="29"/>
      <c r="I8" s="29"/>
      <c r="J8" s="29"/>
      <c r="K8" s="29"/>
    </row>
    <row r="9" spans="2:13" x14ac:dyDescent="0.25">
      <c r="B9" t="s">
        <v>44</v>
      </c>
      <c r="C9" s="29">
        <v>1</v>
      </c>
      <c r="D9" s="29">
        <f t="shared" si="0"/>
        <v>1.0234949725108347</v>
      </c>
      <c r="E9" s="29">
        <f t="shared" si="0"/>
        <v>1.0475419587549542</v>
      </c>
      <c r="F9" s="29">
        <f t="shared" si="0"/>
        <v>1.0721539282798478</v>
      </c>
      <c r="G9" s="29">
        <f t="shared" si="0"/>
        <v>1.0973441553521661</v>
      </c>
      <c r="H9" s="29">
        <f t="shared" si="0"/>
        <v>1.1231262261170902</v>
      </c>
      <c r="I9" s="29">
        <f t="shared" si="0"/>
        <v>1.1495140459259088</v>
      </c>
      <c r="J9" s="29">
        <f t="shared" si="0"/>
        <v>1.1765218468357563</v>
      </c>
      <c r="K9" s="29">
        <f t="shared" si="0"/>
        <v>1.2041641952855588</v>
      </c>
      <c r="L9" s="29">
        <f t="shared" si="0"/>
        <v>1.2324559999523244</v>
      </c>
      <c r="M9" s="29">
        <f t="shared" si="0"/>
        <v>1.2614125197920174</v>
      </c>
    </row>
    <row r="10" spans="2:13" x14ac:dyDescent="0.25">
      <c r="B10" t="s">
        <v>45</v>
      </c>
      <c r="D10" s="29">
        <v>1</v>
      </c>
      <c r="E10" s="29">
        <f t="shared" ref="E10:M10" si="1">D10*(1+E6)</f>
        <v>1.0234949725108347</v>
      </c>
      <c r="F10" s="29">
        <f t="shared" si="1"/>
        <v>1.0475419587549542</v>
      </c>
      <c r="G10" s="29">
        <f t="shared" si="1"/>
        <v>1.0721539282798478</v>
      </c>
      <c r="H10" s="29">
        <f t="shared" si="1"/>
        <v>1.0973441553521661</v>
      </c>
      <c r="I10" s="29">
        <f t="shared" si="1"/>
        <v>1.1231262261170902</v>
      </c>
      <c r="J10" s="29">
        <f t="shared" si="1"/>
        <v>1.1495140459259088</v>
      </c>
      <c r="K10" s="29">
        <f t="shared" si="1"/>
        <v>1.1765218468357563</v>
      </c>
      <c r="L10" s="29">
        <f t="shared" si="1"/>
        <v>1.2041641952855588</v>
      </c>
      <c r="M10" s="29">
        <f t="shared" si="1"/>
        <v>1.2324559999523244</v>
      </c>
    </row>
    <row r="12" spans="2:13" x14ac:dyDescent="0.25">
      <c r="B12" t="s">
        <v>46</v>
      </c>
      <c r="C12" s="29">
        <f>106.6/105.9</f>
        <v>1.0066100094428705</v>
      </c>
      <c r="D12" s="29">
        <f>106.6/107.5</f>
        <v>0.99162790697674408</v>
      </c>
      <c r="E12" s="29">
        <f>106.6/108.6</f>
        <v>0.98158379373848992</v>
      </c>
      <c r="F12" s="29">
        <f>106.6/110.7</f>
        <v>0.96296296296296291</v>
      </c>
      <c r="G12" s="29">
        <f>106.6/113</f>
        <v>0.94336283185840708</v>
      </c>
    </row>
    <row r="13" spans="2:13" x14ac:dyDescent="0.25">
      <c r="B13" s="30" t="s">
        <v>47</v>
      </c>
      <c r="C13" s="29"/>
      <c r="D13" s="29"/>
      <c r="E13" s="29"/>
      <c r="F13" s="29"/>
      <c r="G13" s="29"/>
    </row>
    <row r="14" spans="2:13" x14ac:dyDescent="0.25">
      <c r="G14" s="29"/>
    </row>
    <row r="15" spans="2:13" x14ac:dyDescent="0.25">
      <c r="B15" s="3" t="s">
        <v>48</v>
      </c>
      <c r="C15" s="3"/>
    </row>
    <row r="16" spans="2:13" x14ac:dyDescent="0.25">
      <c r="C16" s="2">
        <v>2015</v>
      </c>
      <c r="D16" s="2"/>
      <c r="E16" s="2"/>
      <c r="F16" s="2"/>
    </row>
    <row r="17" spans="2:10" x14ac:dyDescent="0.25">
      <c r="B17" t="s">
        <v>49</v>
      </c>
      <c r="C17" s="24">
        <v>1.8974612720283446E-2</v>
      </c>
    </row>
    <row r="18" spans="2:10" x14ac:dyDescent="0.25">
      <c r="B18" t="s">
        <v>50</v>
      </c>
      <c r="C18" s="24">
        <v>2.3414596363495743E-3</v>
      </c>
    </row>
    <row r="19" spans="2:10" x14ac:dyDescent="0.25">
      <c r="B19" s="31" t="s">
        <v>51</v>
      </c>
    </row>
    <row r="20" spans="2:10" x14ac:dyDescent="0.25">
      <c r="B20" s="31"/>
    </row>
    <row r="21" spans="2:10" x14ac:dyDescent="0.25">
      <c r="B21" s="3" t="s">
        <v>52</v>
      </c>
      <c r="C21" s="3"/>
    </row>
    <row r="23" spans="2:10" x14ac:dyDescent="0.25">
      <c r="B23" s="32"/>
      <c r="C23" s="32"/>
      <c r="D23" s="405" t="s">
        <v>53</v>
      </c>
      <c r="E23" s="405"/>
      <c r="F23" s="405"/>
      <c r="G23" s="405"/>
      <c r="H23" s="406"/>
      <c r="I23" s="2"/>
      <c r="J23" s="2"/>
    </row>
    <row r="24" spans="2:10" x14ac:dyDescent="0.25">
      <c r="B24" s="32" t="s">
        <v>54</v>
      </c>
      <c r="C24" s="32"/>
      <c r="D24" s="33">
        <v>2016</v>
      </c>
      <c r="E24" s="33">
        <v>2017</v>
      </c>
      <c r="F24" s="33">
        <v>2018</v>
      </c>
      <c r="G24" s="33">
        <v>2019</v>
      </c>
      <c r="H24" s="33">
        <v>2020</v>
      </c>
      <c r="I24" s="25"/>
      <c r="J24" s="25"/>
    </row>
    <row r="25" spans="2:10" ht="15.75" thickBot="1" x14ac:dyDescent="0.3">
      <c r="B25" s="34" t="s">
        <v>55</v>
      </c>
      <c r="C25" s="35"/>
      <c r="D25" s="36"/>
      <c r="E25" s="36"/>
      <c r="F25" s="36"/>
      <c r="G25" s="36"/>
      <c r="H25" s="36"/>
    </row>
    <row r="26" spans="2:10" ht="30.75" thickBot="1" x14ac:dyDescent="0.3">
      <c r="B26" s="37" t="s">
        <v>56</v>
      </c>
      <c r="C26" s="38"/>
      <c r="D26" s="39">
        <v>0.4</v>
      </c>
      <c r="E26" s="39">
        <v>0.37</v>
      </c>
      <c r="F26" s="39">
        <v>0.79</v>
      </c>
      <c r="G26" s="39">
        <v>0.96</v>
      </c>
      <c r="H26" s="39">
        <v>1.02</v>
      </c>
      <c r="I26" s="25"/>
      <c r="J26" s="25"/>
    </row>
    <row r="27" spans="2:10" ht="15.75" thickBot="1" x14ac:dyDescent="0.3">
      <c r="B27" s="40" t="s">
        <v>57</v>
      </c>
      <c r="C27" s="41"/>
      <c r="D27" s="39">
        <v>0.36</v>
      </c>
      <c r="E27" s="39">
        <v>0.39</v>
      </c>
      <c r="F27" s="39">
        <v>0.97</v>
      </c>
      <c r="G27" s="39">
        <v>1.0900000000000001</v>
      </c>
      <c r="H27" s="39">
        <v>1.1599999999999999</v>
      </c>
    </row>
    <row r="28" spans="2:10" x14ac:dyDescent="0.25">
      <c r="B28" s="31" t="s">
        <v>58</v>
      </c>
      <c r="C28" s="31"/>
    </row>
    <row r="30" spans="2:10" x14ac:dyDescent="0.25">
      <c r="B30" s="16" t="s">
        <v>59</v>
      </c>
    </row>
    <row r="31" spans="2:10" x14ac:dyDescent="0.25">
      <c r="C31" s="2">
        <v>2015</v>
      </c>
      <c r="D31" s="2">
        <v>2016</v>
      </c>
      <c r="E31" s="2">
        <v>2017</v>
      </c>
      <c r="F31" s="2">
        <v>2018</v>
      </c>
      <c r="G31" s="2">
        <v>2019</v>
      </c>
      <c r="H31" s="2">
        <v>2020</v>
      </c>
    </row>
    <row r="32" spans="2:10" x14ac:dyDescent="0.25">
      <c r="B32" t="s">
        <v>60</v>
      </c>
      <c r="C32" s="42">
        <v>1</v>
      </c>
      <c r="D32" s="42">
        <f>C32*1+(D26/100)</f>
        <v>1.004</v>
      </c>
      <c r="E32" s="42">
        <f t="shared" ref="E32:H33" si="2">D32*(1+E26/100)</f>
        <v>1.0077148</v>
      </c>
      <c r="F32" s="42">
        <f t="shared" si="2"/>
        <v>1.01567574692</v>
      </c>
      <c r="G32" s="42">
        <f t="shared" si="2"/>
        <v>1.0254262340904321</v>
      </c>
      <c r="H32" s="42">
        <f t="shared" si="2"/>
        <v>1.0358855816781545</v>
      </c>
      <c r="I32" s="43"/>
      <c r="J32" s="43"/>
    </row>
    <row r="33" spans="2:10" x14ac:dyDescent="0.25">
      <c r="B33" t="s">
        <v>61</v>
      </c>
      <c r="C33" s="42">
        <v>1</v>
      </c>
      <c r="D33" s="42">
        <f>C33*1+(D27/100)</f>
        <v>1.0036</v>
      </c>
      <c r="E33" s="42">
        <f t="shared" si="2"/>
        <v>1.00751404</v>
      </c>
      <c r="F33" s="42">
        <f t="shared" si="2"/>
        <v>1.017286926188</v>
      </c>
      <c r="G33" s="42">
        <f t="shared" si="2"/>
        <v>1.028375353683449</v>
      </c>
      <c r="H33" s="42">
        <f t="shared" si="2"/>
        <v>1.040304507786177</v>
      </c>
    </row>
    <row r="34" spans="2:10" x14ac:dyDescent="0.25">
      <c r="F34" s="43"/>
      <c r="G34" s="43"/>
      <c r="H34" s="43"/>
      <c r="I34" s="43"/>
      <c r="J34" s="43"/>
    </row>
    <row r="35" spans="2:10" x14ac:dyDescent="0.25">
      <c r="B35" s="16" t="s">
        <v>62</v>
      </c>
    </row>
    <row r="36" spans="2:10" x14ac:dyDescent="0.25">
      <c r="C36" s="2">
        <v>2015</v>
      </c>
      <c r="D36" s="2">
        <v>2016</v>
      </c>
      <c r="E36" s="2">
        <v>2017</v>
      </c>
      <c r="F36" s="2">
        <v>2018</v>
      </c>
      <c r="G36" s="2">
        <v>2019</v>
      </c>
      <c r="H36" s="2">
        <v>2020</v>
      </c>
    </row>
    <row r="37" spans="2:10" x14ac:dyDescent="0.25">
      <c r="B37" t="s">
        <v>63</v>
      </c>
      <c r="C37" s="26">
        <f>C17</f>
        <v>1.8974612720283446E-2</v>
      </c>
      <c r="D37" s="24">
        <v>4.0141199352505454E-3</v>
      </c>
      <c r="E37" s="24">
        <v>3.7161988694249539E-3</v>
      </c>
      <c r="F37" s="24">
        <v>7.8500228561824374E-3</v>
      </c>
      <c r="G37" s="24">
        <v>9.5736854428500953E-3</v>
      </c>
      <c r="H37" s="24">
        <v>1.0192912905840656E-2</v>
      </c>
    </row>
    <row r="38" spans="2:10" x14ac:dyDescent="0.25">
      <c r="B38" t="s">
        <v>64</v>
      </c>
      <c r="C38" s="29">
        <v>1</v>
      </c>
      <c r="D38" s="29">
        <f>C38*(1+D37)</f>
        <v>1.0040141199352506</v>
      </c>
      <c r="E38" s="29">
        <f>D38*(1+E37)</f>
        <v>1.0077452360726407</v>
      </c>
      <c r="F38" s="29">
        <f>E38*(1+F37)</f>
        <v>1.0156560592090198</v>
      </c>
      <c r="G38" s="29">
        <f>F38*(1+G37)</f>
        <v>1.0253796308380116</v>
      </c>
      <c r="H38" s="29">
        <f>G38*(1+H37)</f>
        <v>1.0358312361105666</v>
      </c>
      <c r="I38" s="25"/>
      <c r="J38" s="25"/>
    </row>
    <row r="40" spans="2:10" x14ac:dyDescent="0.25">
      <c r="B40" t="s">
        <v>65</v>
      </c>
      <c r="D40" s="2">
        <v>2016</v>
      </c>
      <c r="E40" s="2">
        <v>2017</v>
      </c>
      <c r="F40" s="2">
        <v>2018</v>
      </c>
      <c r="G40" s="2">
        <v>2019</v>
      </c>
      <c r="H40" s="2">
        <v>2020</v>
      </c>
    </row>
    <row r="41" spans="2:10" x14ac:dyDescent="0.25">
      <c r="B41" t="s">
        <v>66</v>
      </c>
      <c r="D41">
        <v>0.62</v>
      </c>
      <c r="E41">
        <v>0.62</v>
      </c>
      <c r="F41">
        <v>0.62</v>
      </c>
      <c r="G41">
        <v>0.62</v>
      </c>
      <c r="H41">
        <v>0.62</v>
      </c>
    </row>
    <row r="42" spans="2:10" x14ac:dyDescent="0.25">
      <c r="B42" t="s">
        <v>67</v>
      </c>
      <c r="D42">
        <v>0.38</v>
      </c>
      <c r="E42">
        <v>0.38</v>
      </c>
      <c r="F42">
        <v>0.38</v>
      </c>
      <c r="G42">
        <v>0.38</v>
      </c>
      <c r="H42">
        <v>0.38</v>
      </c>
    </row>
    <row r="43" spans="2:10" x14ac:dyDescent="0.25">
      <c r="B43" s="31" t="s">
        <v>68</v>
      </c>
    </row>
    <row r="44" spans="2:10" x14ac:dyDescent="0.25">
      <c r="B44" s="44"/>
      <c r="C44" s="44"/>
      <c r="D44" s="44"/>
      <c r="E44" s="44"/>
      <c r="F44" s="44"/>
      <c r="G44" s="44"/>
      <c r="H44" s="44"/>
    </row>
    <row r="45" spans="2:10" x14ac:dyDescent="0.25">
      <c r="D45" s="24"/>
      <c r="E45" s="24"/>
      <c r="F45" s="24"/>
      <c r="G45" s="24"/>
    </row>
    <row r="46" spans="2:10" x14ac:dyDescent="0.25">
      <c r="B46" t="s">
        <v>69</v>
      </c>
      <c r="C46" s="45">
        <v>1000</v>
      </c>
    </row>
  </sheetData>
  <mergeCells count="1">
    <mergeCell ref="D23:H2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13</vt:i4>
      </vt:variant>
    </vt:vector>
  </HeadingPairs>
  <TitlesOfParts>
    <vt:vector size="24" baseType="lpstr">
      <vt:lpstr>All works</vt:lpstr>
      <vt:lpstr>Summary</vt:lpstr>
      <vt:lpstr>Phasing</vt:lpstr>
      <vt:lpstr>KLO_Det</vt:lpstr>
      <vt:lpstr>Spare_Det</vt:lpstr>
      <vt:lpstr>#IR004A &amp; CY2020</vt:lpstr>
      <vt:lpstr>Unit_Rates</vt:lpstr>
      <vt:lpstr>Unit_Rates - $2015</vt:lpstr>
      <vt:lpstr>Escalators</vt:lpstr>
      <vt:lpstr>Lab_Rates</vt:lpstr>
      <vt:lpstr>Rpt_Cat</vt:lpstr>
      <vt:lpstr>KLO_Det!Print_Area</vt:lpstr>
      <vt:lpstr>Spare_Det!Print_Area</vt:lpstr>
      <vt:lpstr>STN_1</vt:lpstr>
      <vt:lpstr>STN_10</vt:lpstr>
      <vt:lpstr>STN_2</vt:lpstr>
      <vt:lpstr>STN_3</vt:lpstr>
      <vt:lpstr>STN_4</vt:lpstr>
      <vt:lpstr>STN_5</vt:lpstr>
      <vt:lpstr>STN_6</vt:lpstr>
      <vt:lpstr>STN_7</vt:lpstr>
      <vt:lpstr>STN_8</vt:lpstr>
      <vt:lpstr>STN_9</vt:lpstr>
      <vt:lpstr>Thousands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2020-12-07T06:42:53Z</dcterms:created>
  <dcterms:modified xsi:type="dcterms:W3CDTF">2020-12-07T06:42:56Z</dcterms:modified>
</cp:coreProperties>
</file>