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-105" yWindow="-105" windowWidth="23250" windowHeight="12570" tabRatio="883"/>
  </bookViews>
  <sheets>
    <sheet name="All works" sheetId="5" r:id="rId1"/>
    <sheet name="Summary" sheetId="19" r:id="rId2"/>
    <sheet name="Phasing" sheetId="20" r:id="rId3"/>
    <sheet name="Spare_Det" sheetId="25" r:id="rId4"/>
    <sheet name="WOTS_Det" sheetId="22" r:id="rId5"/>
    <sheet name="BDL_Det" sheetId="23" r:id="rId6"/>
    <sheet name="ELM_Det" sheetId="24" r:id="rId7"/>
    <sheet name="RWN_Det" sheetId="14" r:id="rId8"/>
    <sheet name="KMS_Det" sheetId="12" r:id="rId9"/>
    <sheet name="WGI_Det" sheetId="13" r:id="rId10"/>
    <sheet name="BGE_Det" sheetId="15" r:id="rId11"/>
    <sheet name="LDL_Det" sheetId="16" r:id="rId12"/>
    <sheet name="Single GFN costs" sheetId="21" r:id="rId13"/>
    <sheet name="Unit_Rates" sheetId="10" r:id="rId14"/>
    <sheet name="Unit_Rates - $2015" sheetId="11" r:id="rId15"/>
    <sheet name="Escalators" sheetId="7" r:id="rId16"/>
    <sheet name="Lab_Rates" sheetId="8" r:id="rId17"/>
    <sheet name="Rpt_Cat" sheetId="9" r:id="rId18"/>
  </sheets>
  <externalReferences>
    <externalReference r:id="rId19"/>
  </externalReferences>
  <definedNames>
    <definedName name="_xlnm.Print_Area" localSheetId="5">BDL_Det!$A$2:$P$113</definedName>
    <definedName name="_xlnm.Print_Area" localSheetId="10">BGE_Det!$A$2:$P$97</definedName>
    <definedName name="_xlnm.Print_Area" localSheetId="6">ELM_Det!$A$2:$P$107</definedName>
    <definedName name="_xlnm.Print_Area" localSheetId="8">KMS_Det!$A$2:$P$101</definedName>
    <definedName name="_xlnm.Print_Area" localSheetId="11">LDL_Det!$A$2:$P$79</definedName>
    <definedName name="_xlnm.Print_Area" localSheetId="7">RWN_Det!$A$2:$P$104</definedName>
    <definedName name="_xlnm.Print_Area" localSheetId="12">'Single GFN costs'!$A$2:$P$99</definedName>
    <definedName name="_xlnm.Print_Area" localSheetId="3">Spare_Det!$A$2:$P$107</definedName>
    <definedName name="_xlnm.Print_Area" localSheetId="9">WGI_Det!$A$2:$P$82</definedName>
    <definedName name="_xlnm.Print_Area" localSheetId="4">WOTS_Det!$A$2:$P$108</definedName>
    <definedName name="STN_1">Rpt_Cat!$C$13</definedName>
    <definedName name="STN_10">Rpt_Cat!$C$16</definedName>
    <definedName name="STN_2">Rpt_Cat!$C$14</definedName>
    <definedName name="STN_3">Rpt_Cat!$C$15</definedName>
    <definedName name="STN_4">Rpt_Cat!$C$16</definedName>
    <definedName name="STN_5">Rpt_Cat!$C$17</definedName>
    <definedName name="STN_6">Rpt_Cat!$C$18</definedName>
    <definedName name="STN_7">Rpt_Cat!$C$19</definedName>
    <definedName name="STN_8">Rpt_Cat!$C$20</definedName>
    <definedName name="STN_9">Rpt_Cat!$C$21</definedName>
    <definedName name="Thousands">Escalators!$C$46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80" i="19" l="1"/>
  <c r="F80" i="19"/>
  <c r="G79" i="19"/>
  <c r="P93" i="15"/>
  <c r="O93" i="15"/>
  <c r="N93" i="15"/>
  <c r="M93" i="15"/>
  <c r="L93" i="15"/>
  <c r="K93" i="15"/>
  <c r="P78" i="13"/>
  <c r="O78" i="13"/>
  <c r="N78" i="13"/>
  <c r="M78" i="13"/>
  <c r="L78" i="13"/>
  <c r="K78" i="13"/>
  <c r="D6" i="19"/>
  <c r="E6" i="19"/>
  <c r="D7" i="19"/>
  <c r="E7" i="19"/>
  <c r="D8" i="19"/>
  <c r="E8" i="19"/>
  <c r="D9" i="19"/>
  <c r="E9" i="19"/>
  <c r="D10" i="19"/>
  <c r="E10" i="19"/>
  <c r="D11" i="19"/>
  <c r="E11" i="19"/>
  <c r="D12" i="19"/>
  <c r="E12" i="19"/>
  <c r="D13" i="19"/>
  <c r="E13" i="19"/>
  <c r="D17" i="25"/>
  <c r="E17" i="25"/>
  <c r="F17" i="25"/>
  <c r="G17" i="25"/>
  <c r="K17" i="25"/>
  <c r="D18" i="25"/>
  <c r="E18" i="25"/>
  <c r="F18" i="25"/>
  <c r="G18" i="25"/>
  <c r="K18" i="25"/>
  <c r="D19" i="25"/>
  <c r="E19" i="25"/>
  <c r="F19" i="25"/>
  <c r="D20" i="25"/>
  <c r="E20" i="25"/>
  <c r="F20" i="25"/>
  <c r="D21" i="25"/>
  <c r="E21" i="25"/>
  <c r="F21" i="25"/>
  <c r="D22" i="25"/>
  <c r="E22" i="25"/>
  <c r="F22" i="25"/>
  <c r="D23" i="25"/>
  <c r="E23" i="25"/>
  <c r="F23" i="25"/>
  <c r="D24" i="25"/>
  <c r="E24" i="25"/>
  <c r="F24" i="25"/>
  <c r="D25" i="25"/>
  <c r="E25" i="25"/>
  <c r="F25" i="25"/>
  <c r="D26" i="25"/>
  <c r="E26" i="25"/>
  <c r="F26" i="25"/>
  <c r="D27" i="25"/>
  <c r="E27" i="25"/>
  <c r="F27" i="25"/>
  <c r="D28" i="25"/>
  <c r="E28" i="25"/>
  <c r="F28" i="25"/>
  <c r="D29" i="25"/>
  <c r="E29" i="25"/>
  <c r="F29" i="25"/>
  <c r="D30" i="25"/>
  <c r="E30" i="25"/>
  <c r="F30" i="25"/>
  <c r="D31" i="25"/>
  <c r="E31" i="25"/>
  <c r="F31" i="25"/>
  <c r="D32" i="25"/>
  <c r="E32" i="25"/>
  <c r="F32" i="25"/>
  <c r="D33" i="25"/>
  <c r="E33" i="25"/>
  <c r="F33" i="25"/>
  <c r="D34" i="25"/>
  <c r="E34" i="25"/>
  <c r="F34" i="25"/>
  <c r="D35" i="25"/>
  <c r="E35" i="25"/>
  <c r="F35" i="25"/>
  <c r="D36" i="25"/>
  <c r="E36" i="25"/>
  <c r="F36" i="25"/>
  <c r="D37" i="25"/>
  <c r="E37" i="25"/>
  <c r="F37" i="25"/>
  <c r="D38" i="25"/>
  <c r="E38" i="25"/>
  <c r="F38" i="25"/>
  <c r="D39" i="25"/>
  <c r="E39" i="25"/>
  <c r="F39" i="25"/>
  <c r="D40" i="25"/>
  <c r="E40" i="25"/>
  <c r="F40" i="25"/>
  <c r="D41" i="25"/>
  <c r="E41" i="25"/>
  <c r="F41" i="25"/>
  <c r="D42" i="25"/>
  <c r="E42" i="25"/>
  <c r="F42" i="25"/>
  <c r="D43" i="25"/>
  <c r="E43" i="25"/>
  <c r="F43" i="25"/>
  <c r="D44" i="25"/>
  <c r="E44" i="25"/>
  <c r="F44" i="25"/>
  <c r="D45" i="25"/>
  <c r="E45" i="25"/>
  <c r="F45" i="25"/>
  <c r="D46" i="25"/>
  <c r="E46" i="25"/>
  <c r="F46" i="25"/>
  <c r="D47" i="25"/>
  <c r="E47" i="25"/>
  <c r="F47" i="25"/>
  <c r="D49" i="25"/>
  <c r="E49" i="25"/>
  <c r="F49" i="25"/>
  <c r="D50" i="25"/>
  <c r="E50" i="25"/>
  <c r="F50" i="25"/>
  <c r="D53" i="25"/>
  <c r="E53" i="25"/>
  <c r="F53" i="25"/>
  <c r="D54" i="25"/>
  <c r="E54" i="25"/>
  <c r="F54" i="25"/>
  <c r="D55" i="25"/>
  <c r="E55" i="25"/>
  <c r="F55" i="25"/>
  <c r="D56" i="25"/>
  <c r="E56" i="25"/>
  <c r="F56" i="25"/>
  <c r="D57" i="25"/>
  <c r="E57" i="25"/>
  <c r="F57" i="25"/>
  <c r="D58" i="25"/>
  <c r="E58" i="25"/>
  <c r="F58" i="25"/>
  <c r="G19" i="25"/>
  <c r="K19" i="25"/>
  <c r="G20" i="25"/>
  <c r="K20" i="25"/>
  <c r="G21" i="25"/>
  <c r="K21" i="25"/>
  <c r="G22" i="25"/>
  <c r="K22" i="25"/>
  <c r="G23" i="25"/>
  <c r="K23" i="25"/>
  <c r="G24" i="25"/>
  <c r="K24" i="25"/>
  <c r="G25" i="25"/>
  <c r="K25" i="25"/>
  <c r="G26" i="25"/>
  <c r="K26" i="25"/>
  <c r="G27" i="25"/>
  <c r="K27" i="25"/>
  <c r="G28" i="25"/>
  <c r="K28" i="25"/>
  <c r="G29" i="25"/>
  <c r="K29" i="25"/>
  <c r="G30" i="25"/>
  <c r="K30" i="25"/>
  <c r="G31" i="25"/>
  <c r="K31" i="25"/>
  <c r="G32" i="25"/>
  <c r="K32" i="25"/>
  <c r="G33" i="25"/>
  <c r="K33" i="25"/>
  <c r="G34" i="25"/>
  <c r="K34" i="25"/>
  <c r="G35" i="25"/>
  <c r="K35" i="25"/>
  <c r="G36" i="25"/>
  <c r="K36" i="25"/>
  <c r="G37" i="25"/>
  <c r="K37" i="25"/>
  <c r="G38" i="25"/>
  <c r="K38" i="25"/>
  <c r="G39" i="25"/>
  <c r="K39" i="25"/>
  <c r="G40" i="25"/>
  <c r="K40" i="25"/>
  <c r="G41" i="25"/>
  <c r="K41" i="25"/>
  <c r="G42" i="25"/>
  <c r="K42" i="25"/>
  <c r="G43" i="25"/>
  <c r="K43" i="25"/>
  <c r="G44" i="25"/>
  <c r="K44" i="25"/>
  <c r="G45" i="25"/>
  <c r="K45" i="25"/>
  <c r="G47" i="25"/>
  <c r="K47" i="25"/>
  <c r="G49" i="25"/>
  <c r="K49" i="25"/>
  <c r="G53" i="25"/>
  <c r="K53" i="25"/>
  <c r="G54" i="25"/>
  <c r="K54" i="25"/>
  <c r="G55" i="25"/>
  <c r="K55" i="25"/>
  <c r="G56" i="25"/>
  <c r="K56" i="25"/>
  <c r="G57" i="25"/>
  <c r="K57" i="25"/>
  <c r="G58" i="25"/>
  <c r="K58" i="25"/>
  <c r="G60" i="25"/>
  <c r="K60" i="25"/>
  <c r="K110" i="25"/>
  <c r="L110" i="25"/>
  <c r="M110" i="25"/>
  <c r="N17" i="25"/>
  <c r="N18" i="25"/>
  <c r="N19" i="25"/>
  <c r="N20" i="25"/>
  <c r="N21" i="25"/>
  <c r="N22" i="25"/>
  <c r="N23" i="25"/>
  <c r="N24" i="25"/>
  <c r="N25" i="25"/>
  <c r="N26" i="25"/>
  <c r="N27" i="25"/>
  <c r="N28" i="25"/>
  <c r="N29" i="25"/>
  <c r="N30" i="25"/>
  <c r="N31" i="25"/>
  <c r="N32" i="25"/>
  <c r="N33" i="25"/>
  <c r="N34" i="25"/>
  <c r="N35" i="25"/>
  <c r="N36" i="25"/>
  <c r="N37" i="25"/>
  <c r="N38" i="25"/>
  <c r="N39" i="25"/>
  <c r="N40" i="25"/>
  <c r="N41" i="25"/>
  <c r="N42" i="25"/>
  <c r="N43" i="25"/>
  <c r="N44" i="25"/>
  <c r="N45" i="25"/>
  <c r="N47" i="25"/>
  <c r="N49" i="25"/>
  <c r="N50" i="25"/>
  <c r="N53" i="25"/>
  <c r="N54" i="25"/>
  <c r="N55" i="25"/>
  <c r="N56" i="25"/>
  <c r="N57" i="25"/>
  <c r="N58" i="25"/>
  <c r="N60" i="25"/>
  <c r="N68" i="25"/>
  <c r="N110" i="25"/>
  <c r="O17" i="25"/>
  <c r="O18" i="25"/>
  <c r="O19" i="25"/>
  <c r="O20" i="25"/>
  <c r="O21" i="25"/>
  <c r="O22" i="25"/>
  <c r="O23" i="25"/>
  <c r="O24" i="25"/>
  <c r="O25" i="25"/>
  <c r="O26" i="25"/>
  <c r="O27" i="25"/>
  <c r="O28" i="25"/>
  <c r="O29" i="25"/>
  <c r="O30" i="25"/>
  <c r="O31" i="25"/>
  <c r="O32" i="25"/>
  <c r="O33" i="25"/>
  <c r="O34" i="25"/>
  <c r="O35" i="25"/>
  <c r="O36" i="25"/>
  <c r="O37" i="25"/>
  <c r="O38" i="25"/>
  <c r="O39" i="25"/>
  <c r="O40" i="25"/>
  <c r="O41" i="25"/>
  <c r="O42" i="25"/>
  <c r="O43" i="25"/>
  <c r="O44" i="25"/>
  <c r="O45" i="25"/>
  <c r="O47" i="25"/>
  <c r="O49" i="25"/>
  <c r="O50" i="25"/>
  <c r="O53" i="25"/>
  <c r="O54" i="25"/>
  <c r="O55" i="25"/>
  <c r="O56" i="25"/>
  <c r="O57" i="25"/>
  <c r="O58" i="25"/>
  <c r="O60" i="25"/>
  <c r="O68" i="25"/>
  <c r="O110" i="25"/>
  <c r="P110" i="25"/>
  <c r="K111" i="25"/>
  <c r="L111" i="25"/>
  <c r="M111" i="25"/>
  <c r="N111" i="25"/>
  <c r="O111" i="25"/>
  <c r="P111" i="25"/>
  <c r="K112" i="25"/>
  <c r="L112" i="25"/>
  <c r="M112" i="25"/>
  <c r="N112" i="25"/>
  <c r="O112" i="25"/>
  <c r="P112" i="25"/>
  <c r="K113" i="25"/>
  <c r="L113" i="25"/>
  <c r="M113" i="25"/>
  <c r="N113" i="25"/>
  <c r="O113" i="25"/>
  <c r="P113" i="25"/>
  <c r="K114" i="25"/>
  <c r="L114" i="25"/>
  <c r="M114" i="25"/>
  <c r="N114" i="25"/>
  <c r="O114" i="25"/>
  <c r="P114" i="25"/>
  <c r="P115" i="25"/>
  <c r="L116" i="25"/>
  <c r="M116" i="25"/>
  <c r="N116" i="25"/>
  <c r="P116" i="25"/>
  <c r="P122" i="25"/>
  <c r="L117" i="25"/>
  <c r="M117" i="25"/>
  <c r="N117" i="25"/>
  <c r="P117" i="25"/>
  <c r="P123" i="25"/>
  <c r="D79" i="25"/>
  <c r="E79" i="25"/>
  <c r="F79" i="25"/>
  <c r="G79" i="25"/>
  <c r="K79" i="25"/>
  <c r="N79" i="25"/>
  <c r="O79" i="25"/>
  <c r="P79" i="25"/>
  <c r="D80" i="25"/>
  <c r="E80" i="25"/>
  <c r="F80" i="25"/>
  <c r="G80" i="25"/>
  <c r="K80" i="25"/>
  <c r="N80" i="25"/>
  <c r="O80" i="25"/>
  <c r="P80" i="25"/>
  <c r="D81" i="25"/>
  <c r="E81" i="25"/>
  <c r="F81" i="25"/>
  <c r="D82" i="25"/>
  <c r="E82" i="25"/>
  <c r="F82" i="25"/>
  <c r="D83" i="25"/>
  <c r="E83" i="25"/>
  <c r="F83" i="25"/>
  <c r="D84" i="25"/>
  <c r="E84" i="25"/>
  <c r="F84" i="25"/>
  <c r="D87" i="25"/>
  <c r="E87" i="25"/>
  <c r="F87" i="25"/>
  <c r="D90" i="25"/>
  <c r="E90" i="25"/>
  <c r="F90" i="25"/>
  <c r="D91" i="25"/>
  <c r="E91" i="25"/>
  <c r="F91" i="25"/>
  <c r="D93" i="25"/>
  <c r="E93" i="25"/>
  <c r="F93" i="25"/>
  <c r="G81" i="25"/>
  <c r="K81" i="25"/>
  <c r="N81" i="25"/>
  <c r="O81" i="25"/>
  <c r="P81" i="25"/>
  <c r="G82" i="25"/>
  <c r="K82" i="25"/>
  <c r="N82" i="25"/>
  <c r="O82" i="25"/>
  <c r="P82" i="25"/>
  <c r="G83" i="25"/>
  <c r="K83" i="25"/>
  <c r="N83" i="25"/>
  <c r="O83" i="25"/>
  <c r="P83" i="25"/>
  <c r="G84" i="25"/>
  <c r="K84" i="25"/>
  <c r="N84" i="25"/>
  <c r="O84" i="25"/>
  <c r="P84" i="25"/>
  <c r="G85" i="25"/>
  <c r="K85" i="25"/>
  <c r="N85" i="25"/>
  <c r="O85" i="25"/>
  <c r="P85" i="25"/>
  <c r="G87" i="25"/>
  <c r="K87" i="25"/>
  <c r="N87" i="25"/>
  <c r="O87" i="25"/>
  <c r="P87" i="25"/>
  <c r="G88" i="25"/>
  <c r="K88" i="25"/>
  <c r="N88" i="25"/>
  <c r="O88" i="25"/>
  <c r="P88" i="25"/>
  <c r="G90" i="25"/>
  <c r="K90" i="25"/>
  <c r="N90" i="25"/>
  <c r="O90" i="25"/>
  <c r="P90" i="25"/>
  <c r="G91" i="25"/>
  <c r="K91" i="25"/>
  <c r="N91" i="25"/>
  <c r="O91" i="25"/>
  <c r="P91" i="25"/>
  <c r="G93" i="25"/>
  <c r="K93" i="25"/>
  <c r="N93" i="25"/>
  <c r="O93" i="25"/>
  <c r="P93" i="25"/>
  <c r="P129" i="25"/>
  <c r="P130" i="25"/>
  <c r="L118" i="25"/>
  <c r="M118" i="25"/>
  <c r="N118" i="25"/>
  <c r="P118" i="25"/>
  <c r="P124" i="25"/>
  <c r="L119" i="25"/>
  <c r="M119" i="25"/>
  <c r="N119" i="25"/>
  <c r="P119" i="25"/>
  <c r="P125" i="25"/>
  <c r="L120" i="25"/>
  <c r="M120" i="25"/>
  <c r="N120" i="25"/>
  <c r="P120" i="25"/>
  <c r="P126" i="25"/>
  <c r="P127" i="25"/>
  <c r="P17" i="25"/>
  <c r="P18" i="25"/>
  <c r="P19" i="25"/>
  <c r="P20" i="25"/>
  <c r="P21" i="25"/>
  <c r="P22" i="25"/>
  <c r="P23" i="25"/>
  <c r="P24" i="25"/>
  <c r="P25" i="25"/>
  <c r="P26" i="25"/>
  <c r="P27" i="25"/>
  <c r="P28" i="25"/>
  <c r="P29" i="25"/>
  <c r="P30" i="25"/>
  <c r="P31" i="25"/>
  <c r="P32" i="25"/>
  <c r="P33" i="25"/>
  <c r="P34" i="25"/>
  <c r="P35" i="25"/>
  <c r="P36" i="25"/>
  <c r="P37" i="25"/>
  <c r="P38" i="25"/>
  <c r="P39" i="25"/>
  <c r="P40" i="25"/>
  <c r="P41" i="25"/>
  <c r="P42" i="25"/>
  <c r="P43" i="25"/>
  <c r="P44" i="25"/>
  <c r="P45" i="25"/>
  <c r="P47" i="25"/>
  <c r="P49" i="25"/>
  <c r="P50" i="25"/>
  <c r="P53" i="25"/>
  <c r="P54" i="25"/>
  <c r="P55" i="25"/>
  <c r="P56" i="25"/>
  <c r="P57" i="25"/>
  <c r="P58" i="25"/>
  <c r="P60" i="25"/>
  <c r="P68" i="25"/>
  <c r="P73" i="25"/>
  <c r="P128" i="25"/>
  <c r="P131" i="25"/>
  <c r="P132" i="25"/>
  <c r="P133" i="25"/>
  <c r="P94" i="25"/>
  <c r="P134" i="25"/>
  <c r="D100" i="25"/>
  <c r="E100" i="25"/>
  <c r="F100" i="25"/>
  <c r="D101" i="25"/>
  <c r="E101" i="25"/>
  <c r="F101" i="25"/>
  <c r="P135" i="25"/>
  <c r="P136" i="25"/>
  <c r="G99" i="25"/>
  <c r="K99" i="25"/>
  <c r="N99" i="25"/>
  <c r="O99" i="25"/>
  <c r="P99" i="25"/>
  <c r="G100" i="25"/>
  <c r="K100" i="25"/>
  <c r="N100" i="25"/>
  <c r="O100" i="25"/>
  <c r="P100" i="25"/>
  <c r="G101" i="25"/>
  <c r="K101" i="25"/>
  <c r="N101" i="25"/>
  <c r="O101" i="25"/>
  <c r="P101" i="25"/>
  <c r="P137" i="25"/>
  <c r="P138" i="25"/>
  <c r="D5" i="19"/>
  <c r="E5" i="19"/>
  <c r="E14" i="19"/>
  <c r="C5" i="5"/>
  <c r="C16" i="5"/>
  <c r="F6" i="19"/>
  <c r="F7" i="19"/>
  <c r="F8" i="19"/>
  <c r="F9" i="19"/>
  <c r="F10" i="19"/>
  <c r="F11" i="19"/>
  <c r="F12" i="19"/>
  <c r="F13" i="19"/>
  <c r="F5" i="19"/>
  <c r="F14" i="19"/>
  <c r="D5" i="5"/>
  <c r="G6" i="19"/>
  <c r="G7" i="19"/>
  <c r="G8" i="19"/>
  <c r="G9" i="19"/>
  <c r="G10" i="19"/>
  <c r="G11" i="19"/>
  <c r="G12" i="19"/>
  <c r="G13" i="19"/>
  <c r="G5" i="19"/>
  <c r="G14" i="19"/>
  <c r="E5" i="5"/>
  <c r="D16" i="5"/>
  <c r="H6" i="19"/>
  <c r="H7" i="19"/>
  <c r="H8" i="19"/>
  <c r="H9" i="19"/>
  <c r="H10" i="19"/>
  <c r="H11" i="19"/>
  <c r="H12" i="19"/>
  <c r="H13" i="19"/>
  <c r="H5" i="19"/>
  <c r="H14" i="19"/>
  <c r="F5" i="5"/>
  <c r="I6" i="19"/>
  <c r="I7" i="19"/>
  <c r="I8" i="19"/>
  <c r="I9" i="19"/>
  <c r="I10" i="19"/>
  <c r="I11" i="19"/>
  <c r="I12" i="19"/>
  <c r="I13" i="19"/>
  <c r="I5" i="19"/>
  <c r="I14" i="19"/>
  <c r="G5" i="5"/>
  <c r="E16" i="5"/>
  <c r="J6" i="19"/>
  <c r="J7" i="19"/>
  <c r="J8" i="19"/>
  <c r="J9" i="19"/>
  <c r="J10" i="19"/>
  <c r="J11" i="19"/>
  <c r="J12" i="19"/>
  <c r="J13" i="19"/>
  <c r="J5" i="19"/>
  <c r="J14" i="19"/>
  <c r="H5" i="5"/>
  <c r="K6" i="19"/>
  <c r="K7" i="19"/>
  <c r="K8" i="19"/>
  <c r="K9" i="19"/>
  <c r="K10" i="19"/>
  <c r="K11" i="19"/>
  <c r="K12" i="19"/>
  <c r="K13" i="19"/>
  <c r="K5" i="19"/>
  <c r="K14" i="19"/>
  <c r="I5" i="5"/>
  <c r="F16" i="5"/>
  <c r="L6" i="19"/>
  <c r="L7" i="19"/>
  <c r="L8" i="19"/>
  <c r="L9" i="19"/>
  <c r="L10" i="19"/>
  <c r="L11" i="19"/>
  <c r="L12" i="19"/>
  <c r="L13" i="19"/>
  <c r="L5" i="19"/>
  <c r="L14" i="19"/>
  <c r="J5" i="5"/>
  <c r="M6" i="19"/>
  <c r="M7" i="19"/>
  <c r="M8" i="19"/>
  <c r="M9" i="19"/>
  <c r="M10" i="19"/>
  <c r="M11" i="19"/>
  <c r="M12" i="19"/>
  <c r="M13" i="19"/>
  <c r="M5" i="19"/>
  <c r="M14" i="19"/>
  <c r="K5" i="5"/>
  <c r="G16" i="5"/>
  <c r="N6" i="19"/>
  <c r="N7" i="19"/>
  <c r="N8" i="19"/>
  <c r="N9" i="19"/>
  <c r="N10" i="19"/>
  <c r="N11" i="19"/>
  <c r="N12" i="19"/>
  <c r="N13" i="19"/>
  <c r="N5" i="19"/>
  <c r="N14" i="19"/>
  <c r="L5" i="5"/>
  <c r="O6" i="19"/>
  <c r="O7" i="19"/>
  <c r="O8" i="19"/>
  <c r="O9" i="19"/>
  <c r="O10" i="19"/>
  <c r="O11" i="19"/>
  <c r="O12" i="19"/>
  <c r="O13" i="19"/>
  <c r="O5" i="19"/>
  <c r="O14" i="19"/>
  <c r="M5" i="5"/>
  <c r="H16" i="5"/>
  <c r="I16" i="5"/>
  <c r="D18" i="19"/>
  <c r="E18" i="19"/>
  <c r="D19" i="19"/>
  <c r="E19" i="19"/>
  <c r="D20" i="19"/>
  <c r="E20" i="19"/>
  <c r="D21" i="19"/>
  <c r="E21" i="19"/>
  <c r="D22" i="19"/>
  <c r="E22" i="19"/>
  <c r="D23" i="19"/>
  <c r="E23" i="19"/>
  <c r="D24" i="19"/>
  <c r="E24" i="19"/>
  <c r="D25" i="19"/>
  <c r="E25" i="19"/>
  <c r="D17" i="19"/>
  <c r="E17" i="19"/>
  <c r="E26" i="19"/>
  <c r="C6" i="5"/>
  <c r="C17" i="5"/>
  <c r="F18" i="19"/>
  <c r="F19" i="19"/>
  <c r="F20" i="19"/>
  <c r="F21" i="19"/>
  <c r="F22" i="19"/>
  <c r="F23" i="19"/>
  <c r="F24" i="19"/>
  <c r="F25" i="19"/>
  <c r="F17" i="19"/>
  <c r="F26" i="19"/>
  <c r="D6" i="5"/>
  <c r="G18" i="19"/>
  <c r="G19" i="19"/>
  <c r="G20" i="19"/>
  <c r="G21" i="19"/>
  <c r="G22" i="19"/>
  <c r="G23" i="19"/>
  <c r="G24" i="19"/>
  <c r="G25" i="19"/>
  <c r="G17" i="19"/>
  <c r="G26" i="19"/>
  <c r="E6" i="5"/>
  <c r="D17" i="5"/>
  <c r="H18" i="19"/>
  <c r="H19" i="19"/>
  <c r="H20" i="19"/>
  <c r="H21" i="19"/>
  <c r="H22" i="19"/>
  <c r="H23" i="19"/>
  <c r="H24" i="19"/>
  <c r="H25" i="19"/>
  <c r="H17" i="19"/>
  <c r="H26" i="19"/>
  <c r="F6" i="5"/>
  <c r="I18" i="19"/>
  <c r="I19" i="19"/>
  <c r="I20" i="19"/>
  <c r="I21" i="19"/>
  <c r="I22" i="19"/>
  <c r="I23" i="19"/>
  <c r="I24" i="19"/>
  <c r="I25" i="19"/>
  <c r="I17" i="19"/>
  <c r="I26" i="19"/>
  <c r="G6" i="5"/>
  <c r="E17" i="5"/>
  <c r="J18" i="19"/>
  <c r="J19" i="19"/>
  <c r="J20" i="19"/>
  <c r="J21" i="19"/>
  <c r="J22" i="19"/>
  <c r="J23" i="19"/>
  <c r="J24" i="19"/>
  <c r="J25" i="19"/>
  <c r="J17" i="19"/>
  <c r="J26" i="19"/>
  <c r="H6" i="5"/>
  <c r="K18" i="19"/>
  <c r="K19" i="19"/>
  <c r="K20" i="19"/>
  <c r="K21" i="19"/>
  <c r="K22" i="19"/>
  <c r="K23" i="19"/>
  <c r="K24" i="19"/>
  <c r="K25" i="19"/>
  <c r="K17" i="19"/>
  <c r="K26" i="19"/>
  <c r="I6" i="5"/>
  <c r="F17" i="5"/>
  <c r="L18" i="19"/>
  <c r="L19" i="19"/>
  <c r="L20" i="19"/>
  <c r="L21" i="19"/>
  <c r="L22" i="19"/>
  <c r="L23" i="19"/>
  <c r="L24" i="19"/>
  <c r="L25" i="19"/>
  <c r="L17" i="19"/>
  <c r="L26" i="19"/>
  <c r="J6" i="5"/>
  <c r="M18" i="19"/>
  <c r="M19" i="19"/>
  <c r="M20" i="19"/>
  <c r="M21" i="19"/>
  <c r="M22" i="19"/>
  <c r="M23" i="19"/>
  <c r="M24" i="19"/>
  <c r="M25" i="19"/>
  <c r="M17" i="19"/>
  <c r="M26" i="19"/>
  <c r="K6" i="5"/>
  <c r="G17" i="5"/>
  <c r="N18" i="19"/>
  <c r="N19" i="19"/>
  <c r="N20" i="19"/>
  <c r="N21" i="19"/>
  <c r="N22" i="19"/>
  <c r="N23" i="19"/>
  <c r="N24" i="19"/>
  <c r="N25" i="19"/>
  <c r="N17" i="19"/>
  <c r="N26" i="19"/>
  <c r="L6" i="5"/>
  <c r="O18" i="19"/>
  <c r="O19" i="19"/>
  <c r="O20" i="19"/>
  <c r="O21" i="19"/>
  <c r="O22" i="19"/>
  <c r="O23" i="19"/>
  <c r="O24" i="19"/>
  <c r="O25" i="19"/>
  <c r="O17" i="19"/>
  <c r="O26" i="19"/>
  <c r="M6" i="5"/>
  <c r="H17" i="5"/>
  <c r="I17" i="5"/>
  <c r="D30" i="19"/>
  <c r="E30" i="19"/>
  <c r="D31" i="19"/>
  <c r="E31" i="19"/>
  <c r="D32" i="19"/>
  <c r="E32" i="19"/>
  <c r="D33" i="19"/>
  <c r="E33" i="19"/>
  <c r="D34" i="19"/>
  <c r="E34" i="19"/>
  <c r="D35" i="19"/>
  <c r="E35" i="19"/>
  <c r="D36" i="19"/>
  <c r="E36" i="19"/>
  <c r="D37" i="19"/>
  <c r="E37" i="19"/>
  <c r="D29" i="19"/>
  <c r="E29" i="19"/>
  <c r="E38" i="19"/>
  <c r="C7" i="5"/>
  <c r="C18" i="5"/>
  <c r="F30" i="19"/>
  <c r="F31" i="19"/>
  <c r="F32" i="19"/>
  <c r="F33" i="19"/>
  <c r="F34" i="19"/>
  <c r="F35" i="19"/>
  <c r="F36" i="19"/>
  <c r="F37" i="19"/>
  <c r="F29" i="19"/>
  <c r="F38" i="19"/>
  <c r="D7" i="5"/>
  <c r="G30" i="19"/>
  <c r="G31" i="19"/>
  <c r="G32" i="19"/>
  <c r="G33" i="19"/>
  <c r="G34" i="19"/>
  <c r="G35" i="19"/>
  <c r="G36" i="19"/>
  <c r="G37" i="19"/>
  <c r="G29" i="19"/>
  <c r="G38" i="19"/>
  <c r="E7" i="5"/>
  <c r="D18" i="5"/>
  <c r="H30" i="19"/>
  <c r="H31" i="19"/>
  <c r="H32" i="19"/>
  <c r="H33" i="19"/>
  <c r="H34" i="19"/>
  <c r="H35" i="19"/>
  <c r="H36" i="19"/>
  <c r="H37" i="19"/>
  <c r="H29" i="19"/>
  <c r="H38" i="19"/>
  <c r="F7" i="5"/>
  <c r="I30" i="19"/>
  <c r="I31" i="19"/>
  <c r="I32" i="19"/>
  <c r="I33" i="19"/>
  <c r="I34" i="19"/>
  <c r="I35" i="19"/>
  <c r="I36" i="19"/>
  <c r="I37" i="19"/>
  <c r="I29" i="19"/>
  <c r="I38" i="19"/>
  <c r="G7" i="5"/>
  <c r="E18" i="5"/>
  <c r="J30" i="19"/>
  <c r="J31" i="19"/>
  <c r="J32" i="19"/>
  <c r="J33" i="19"/>
  <c r="J34" i="19"/>
  <c r="J35" i="19"/>
  <c r="J36" i="19"/>
  <c r="J37" i="19"/>
  <c r="J29" i="19"/>
  <c r="J38" i="19"/>
  <c r="H7" i="5"/>
  <c r="K30" i="19"/>
  <c r="K31" i="19"/>
  <c r="K32" i="19"/>
  <c r="K33" i="19"/>
  <c r="K34" i="19"/>
  <c r="K35" i="19"/>
  <c r="K36" i="19"/>
  <c r="K37" i="19"/>
  <c r="K29" i="19"/>
  <c r="K38" i="19"/>
  <c r="I7" i="5"/>
  <c r="F18" i="5"/>
  <c r="L30" i="19"/>
  <c r="L31" i="19"/>
  <c r="L32" i="19"/>
  <c r="L33" i="19"/>
  <c r="L34" i="19"/>
  <c r="L35" i="19"/>
  <c r="L36" i="19"/>
  <c r="L37" i="19"/>
  <c r="L29" i="19"/>
  <c r="L38" i="19"/>
  <c r="J7" i="5"/>
  <c r="M30" i="19"/>
  <c r="M31" i="19"/>
  <c r="M32" i="19"/>
  <c r="M33" i="19"/>
  <c r="M34" i="19"/>
  <c r="M35" i="19"/>
  <c r="M36" i="19"/>
  <c r="M37" i="19"/>
  <c r="M29" i="19"/>
  <c r="M38" i="19"/>
  <c r="K7" i="5"/>
  <c r="G18" i="5"/>
  <c r="N30" i="19"/>
  <c r="N31" i="19"/>
  <c r="N32" i="19"/>
  <c r="N33" i="19"/>
  <c r="N34" i="19"/>
  <c r="N35" i="19"/>
  <c r="N36" i="19"/>
  <c r="N37" i="19"/>
  <c r="N29" i="19"/>
  <c r="N38" i="19"/>
  <c r="L7" i="5"/>
  <c r="O30" i="19"/>
  <c r="O31" i="19"/>
  <c r="O32" i="19"/>
  <c r="O33" i="19"/>
  <c r="O34" i="19"/>
  <c r="O35" i="19"/>
  <c r="O36" i="19"/>
  <c r="O37" i="19"/>
  <c r="O29" i="19"/>
  <c r="O38" i="19"/>
  <c r="M7" i="5"/>
  <c r="H18" i="5"/>
  <c r="I18" i="5"/>
  <c r="D42" i="19"/>
  <c r="F42" i="19"/>
  <c r="D48" i="19"/>
  <c r="F48" i="19"/>
  <c r="F50" i="19"/>
  <c r="D8" i="5"/>
  <c r="D49" i="19"/>
  <c r="G49" i="19"/>
  <c r="G50" i="19"/>
  <c r="E8" i="5"/>
  <c r="D19" i="5"/>
  <c r="I19" i="5"/>
  <c r="I20" i="5"/>
  <c r="H20" i="5"/>
  <c r="G20" i="5"/>
  <c r="F20" i="5"/>
  <c r="E20" i="5"/>
  <c r="D20" i="5"/>
  <c r="C20" i="5"/>
  <c r="N5" i="5"/>
  <c r="N6" i="5"/>
  <c r="N7" i="5"/>
  <c r="N8" i="5"/>
  <c r="N9" i="5"/>
  <c r="F54" i="19"/>
  <c r="G54" i="19"/>
  <c r="H54" i="19"/>
  <c r="I54" i="19"/>
  <c r="J54" i="19"/>
  <c r="K54" i="19"/>
  <c r="L54" i="19"/>
  <c r="M54" i="19"/>
  <c r="N54" i="19"/>
  <c r="O54" i="19"/>
  <c r="E54" i="19"/>
  <c r="P54" i="19"/>
  <c r="F55" i="19"/>
  <c r="G55" i="19"/>
  <c r="H55" i="19"/>
  <c r="I55" i="19"/>
  <c r="J55" i="19"/>
  <c r="K55" i="19"/>
  <c r="L55" i="19"/>
  <c r="M55" i="19"/>
  <c r="N55" i="19"/>
  <c r="O55" i="19"/>
  <c r="E55" i="19"/>
  <c r="P55" i="19"/>
  <c r="F56" i="19"/>
  <c r="G56" i="19"/>
  <c r="H56" i="19"/>
  <c r="I56" i="19"/>
  <c r="J56" i="19"/>
  <c r="K56" i="19"/>
  <c r="L56" i="19"/>
  <c r="M56" i="19"/>
  <c r="N56" i="19"/>
  <c r="O56" i="19"/>
  <c r="E56" i="19"/>
  <c r="P56" i="19"/>
  <c r="F57" i="19"/>
  <c r="G57" i="19"/>
  <c r="H57" i="19"/>
  <c r="I57" i="19"/>
  <c r="J57" i="19"/>
  <c r="K57" i="19"/>
  <c r="L57" i="19"/>
  <c r="M57" i="19"/>
  <c r="N57" i="19"/>
  <c r="O57" i="19"/>
  <c r="E57" i="19"/>
  <c r="P57" i="19"/>
  <c r="F58" i="19"/>
  <c r="G58" i="19"/>
  <c r="H58" i="19"/>
  <c r="I58" i="19"/>
  <c r="J58" i="19"/>
  <c r="K58" i="19"/>
  <c r="L58" i="19"/>
  <c r="M58" i="19"/>
  <c r="N58" i="19"/>
  <c r="O58" i="19"/>
  <c r="E58" i="19"/>
  <c r="P58" i="19"/>
  <c r="F59" i="19"/>
  <c r="G59" i="19"/>
  <c r="H59" i="19"/>
  <c r="I59" i="19"/>
  <c r="J59" i="19"/>
  <c r="K59" i="19"/>
  <c r="L59" i="19"/>
  <c r="M59" i="19"/>
  <c r="N59" i="19"/>
  <c r="O59" i="19"/>
  <c r="E59" i="19"/>
  <c r="P59" i="19"/>
  <c r="F60" i="19"/>
  <c r="G60" i="19"/>
  <c r="H60" i="19"/>
  <c r="I60" i="19"/>
  <c r="J60" i="19"/>
  <c r="K60" i="19"/>
  <c r="L60" i="19"/>
  <c r="M60" i="19"/>
  <c r="N60" i="19"/>
  <c r="O60" i="19"/>
  <c r="E60" i="19"/>
  <c r="P60" i="19"/>
  <c r="F61" i="19"/>
  <c r="G61" i="19"/>
  <c r="H61" i="19"/>
  <c r="I61" i="19"/>
  <c r="J61" i="19"/>
  <c r="K61" i="19"/>
  <c r="L61" i="19"/>
  <c r="M61" i="19"/>
  <c r="N61" i="19"/>
  <c r="O61" i="19"/>
  <c r="E61" i="19"/>
  <c r="P61" i="19"/>
  <c r="E53" i="19"/>
  <c r="F53" i="19"/>
  <c r="G53" i="19"/>
  <c r="H53" i="19"/>
  <c r="I53" i="19"/>
  <c r="J53" i="19"/>
  <c r="K53" i="19"/>
  <c r="L53" i="19"/>
  <c r="M53" i="19"/>
  <c r="N53" i="19"/>
  <c r="O53" i="19"/>
  <c r="P53" i="19"/>
  <c r="P62" i="19"/>
  <c r="N10" i="5"/>
  <c r="M9" i="5"/>
  <c r="O62" i="19"/>
  <c r="M10" i="5"/>
  <c r="L9" i="5"/>
  <c r="N62" i="19"/>
  <c r="L10" i="5"/>
  <c r="K9" i="5"/>
  <c r="M62" i="19"/>
  <c r="K10" i="5"/>
  <c r="J9" i="5"/>
  <c r="L62" i="19"/>
  <c r="J10" i="5"/>
  <c r="I9" i="5"/>
  <c r="K62" i="19"/>
  <c r="I10" i="5"/>
  <c r="H9" i="5"/>
  <c r="J62" i="19"/>
  <c r="H10" i="5"/>
  <c r="G9" i="5"/>
  <c r="I62" i="19"/>
  <c r="G10" i="5"/>
  <c r="F9" i="5"/>
  <c r="H62" i="19"/>
  <c r="F10" i="5"/>
  <c r="E9" i="5"/>
  <c r="G62" i="19"/>
  <c r="E10" i="5"/>
  <c r="D9" i="5"/>
  <c r="F62" i="19"/>
  <c r="D10" i="5"/>
  <c r="C9" i="5"/>
  <c r="E62" i="19"/>
  <c r="C10" i="5"/>
  <c r="Q45" i="12"/>
  <c r="Q44" i="12"/>
  <c r="Q64" i="22"/>
  <c r="Q62" i="22"/>
  <c r="Q61" i="22"/>
  <c r="Q60" i="22"/>
  <c r="Q59" i="22"/>
  <c r="Q58" i="22"/>
  <c r="Q57" i="22"/>
  <c r="Q56" i="22"/>
  <c r="Q55" i="22"/>
  <c r="Q66" i="23"/>
  <c r="Q64" i="23"/>
  <c r="Q63" i="23"/>
  <c r="Q62" i="23"/>
  <c r="Q61" i="23"/>
  <c r="Q60" i="23"/>
  <c r="Q59" i="23"/>
  <c r="Q60" i="24"/>
  <c r="Q58" i="24"/>
  <c r="Q57" i="24"/>
  <c r="Q56" i="24"/>
  <c r="Q55" i="24"/>
  <c r="Q54" i="24"/>
  <c r="Q53" i="24"/>
  <c r="Q53" i="14"/>
  <c r="Q52" i="14"/>
  <c r="Q51" i="14"/>
  <c r="Q50" i="14"/>
  <c r="Q49" i="14"/>
  <c r="Q48" i="14"/>
  <c r="Q51" i="12"/>
  <c r="Q50" i="12"/>
  <c r="Q49" i="12"/>
  <c r="Q48" i="12"/>
  <c r="Q40" i="12"/>
  <c r="Q39" i="12"/>
  <c r="Q54" i="13"/>
  <c r="Q53" i="13"/>
  <c r="Q52" i="13"/>
  <c r="Q51" i="13"/>
  <c r="Q50" i="13"/>
  <c r="Q46" i="13"/>
  <c r="Q44" i="13"/>
  <c r="Q57" i="15"/>
  <c r="Q55" i="15"/>
  <c r="Q54" i="15"/>
  <c r="Q53" i="15"/>
  <c r="Q52" i="15"/>
  <c r="Q51" i="15"/>
  <c r="Q50" i="15"/>
  <c r="G53" i="16"/>
  <c r="K53" i="16"/>
  <c r="G52" i="16"/>
  <c r="K52" i="16"/>
  <c r="G51" i="16"/>
  <c r="K51" i="16"/>
  <c r="F103" i="22"/>
  <c r="D17" i="22"/>
  <c r="E17" i="22"/>
  <c r="F17" i="22"/>
  <c r="G17" i="22"/>
  <c r="K17" i="22"/>
  <c r="D18" i="22"/>
  <c r="E18" i="22"/>
  <c r="F18" i="22"/>
  <c r="D19" i="22"/>
  <c r="E19" i="22"/>
  <c r="F19" i="22"/>
  <c r="D20" i="22"/>
  <c r="E20" i="22"/>
  <c r="F20" i="22"/>
  <c r="D21" i="22"/>
  <c r="E21" i="22"/>
  <c r="F21" i="22"/>
  <c r="D22" i="22"/>
  <c r="E22" i="22"/>
  <c r="F22" i="22"/>
  <c r="D23" i="22"/>
  <c r="E23" i="22"/>
  <c r="F23" i="22"/>
  <c r="D24" i="22"/>
  <c r="E24" i="22"/>
  <c r="F24" i="22"/>
  <c r="D25" i="22"/>
  <c r="E25" i="22"/>
  <c r="F25" i="22"/>
  <c r="D26" i="22"/>
  <c r="E26" i="22"/>
  <c r="F26" i="22"/>
  <c r="D27" i="22"/>
  <c r="E27" i="22"/>
  <c r="F27" i="22"/>
  <c r="D28" i="22"/>
  <c r="E28" i="22"/>
  <c r="F28" i="22"/>
  <c r="D29" i="22"/>
  <c r="E29" i="22"/>
  <c r="F29" i="22"/>
  <c r="D30" i="22"/>
  <c r="E30" i="22"/>
  <c r="F30" i="22"/>
  <c r="D31" i="22"/>
  <c r="E31" i="22"/>
  <c r="F31" i="22"/>
  <c r="D32" i="22"/>
  <c r="E32" i="22"/>
  <c r="F32" i="22"/>
  <c r="D33" i="22"/>
  <c r="E33" i="22"/>
  <c r="F33" i="22"/>
  <c r="D34" i="22"/>
  <c r="E34" i="22"/>
  <c r="F34" i="22"/>
  <c r="D35" i="22"/>
  <c r="E35" i="22"/>
  <c r="F35" i="22"/>
  <c r="D36" i="22"/>
  <c r="E36" i="22"/>
  <c r="F36" i="22"/>
  <c r="D37" i="22"/>
  <c r="E37" i="22"/>
  <c r="F37" i="22"/>
  <c r="D38" i="22"/>
  <c r="E38" i="22"/>
  <c r="F38" i="22"/>
  <c r="D39" i="22"/>
  <c r="E39" i="22"/>
  <c r="F39" i="22"/>
  <c r="D40" i="22"/>
  <c r="E40" i="22"/>
  <c r="F40" i="22"/>
  <c r="D41" i="22"/>
  <c r="E41" i="22"/>
  <c r="F41" i="22"/>
  <c r="D42" i="22"/>
  <c r="E42" i="22"/>
  <c r="F42" i="22"/>
  <c r="D43" i="22"/>
  <c r="E43" i="22"/>
  <c r="F43" i="22"/>
  <c r="D44" i="22"/>
  <c r="E44" i="22"/>
  <c r="F44" i="22"/>
  <c r="D45" i="22"/>
  <c r="E45" i="22"/>
  <c r="F45" i="22"/>
  <c r="D46" i="22"/>
  <c r="E46" i="22"/>
  <c r="F46" i="22"/>
  <c r="D47" i="22"/>
  <c r="E47" i="22"/>
  <c r="F47" i="22"/>
  <c r="D48" i="22"/>
  <c r="E48" i="22"/>
  <c r="F48" i="22"/>
  <c r="D49" i="22"/>
  <c r="E49" i="22"/>
  <c r="F49" i="22"/>
  <c r="F50" i="22"/>
  <c r="D51" i="22"/>
  <c r="E51" i="22"/>
  <c r="F51" i="22"/>
  <c r="D52" i="22"/>
  <c r="E52" i="22"/>
  <c r="F52" i="22"/>
  <c r="D55" i="22"/>
  <c r="E55" i="22"/>
  <c r="F55" i="22"/>
  <c r="D56" i="22"/>
  <c r="E56" i="22"/>
  <c r="F56" i="22"/>
  <c r="D57" i="22"/>
  <c r="E57" i="22"/>
  <c r="F57" i="22"/>
  <c r="D58" i="22"/>
  <c r="E58" i="22"/>
  <c r="F58" i="22"/>
  <c r="D59" i="22"/>
  <c r="E59" i="22"/>
  <c r="F59" i="22"/>
  <c r="D60" i="22"/>
  <c r="E60" i="22"/>
  <c r="F60" i="22"/>
  <c r="D61" i="22"/>
  <c r="E61" i="22"/>
  <c r="F61" i="22"/>
  <c r="D62" i="22"/>
  <c r="E62" i="22"/>
  <c r="F62" i="22"/>
  <c r="F65" i="22"/>
  <c r="F66" i="22"/>
  <c r="F67" i="22"/>
  <c r="F68" i="22"/>
  <c r="F70" i="22"/>
  <c r="F71" i="22"/>
  <c r="D72" i="22"/>
  <c r="E72" i="22"/>
  <c r="F72" i="22"/>
  <c r="F73" i="22"/>
  <c r="F74" i="22"/>
  <c r="F75" i="22"/>
  <c r="G18" i="22"/>
  <c r="K18" i="22"/>
  <c r="G19" i="22"/>
  <c r="K19" i="22"/>
  <c r="G20" i="22"/>
  <c r="K20" i="22"/>
  <c r="G21" i="22"/>
  <c r="K21" i="22"/>
  <c r="G22" i="22"/>
  <c r="K22" i="22"/>
  <c r="G23" i="22"/>
  <c r="K23" i="22"/>
  <c r="G24" i="22"/>
  <c r="K24" i="22"/>
  <c r="G25" i="22"/>
  <c r="K25" i="22"/>
  <c r="G26" i="22"/>
  <c r="K26" i="22"/>
  <c r="G27" i="22"/>
  <c r="K27" i="22"/>
  <c r="G28" i="22"/>
  <c r="K28" i="22"/>
  <c r="G29" i="22"/>
  <c r="K29" i="22"/>
  <c r="G30" i="22"/>
  <c r="K30" i="22"/>
  <c r="G31" i="22"/>
  <c r="K31" i="22"/>
  <c r="G32" i="22"/>
  <c r="K32" i="22"/>
  <c r="G33" i="22"/>
  <c r="K33" i="22"/>
  <c r="G34" i="22"/>
  <c r="K34" i="22"/>
  <c r="G35" i="22"/>
  <c r="K35" i="22"/>
  <c r="G36" i="22"/>
  <c r="K36" i="22"/>
  <c r="G37" i="22"/>
  <c r="K37" i="22"/>
  <c r="G38" i="22"/>
  <c r="K38" i="22"/>
  <c r="G39" i="22"/>
  <c r="K39" i="22"/>
  <c r="G40" i="22"/>
  <c r="K40" i="22"/>
  <c r="G41" i="22"/>
  <c r="K41" i="22"/>
  <c r="G42" i="22"/>
  <c r="K42" i="22"/>
  <c r="G43" i="22"/>
  <c r="K43" i="22"/>
  <c r="G44" i="22"/>
  <c r="K44" i="22"/>
  <c r="G45" i="22"/>
  <c r="K45" i="22"/>
  <c r="G46" i="22"/>
  <c r="K46" i="22"/>
  <c r="G47" i="22"/>
  <c r="K47" i="22"/>
  <c r="K48" i="22"/>
  <c r="G49" i="22"/>
  <c r="K49" i="22"/>
  <c r="K50" i="22"/>
  <c r="G51" i="22"/>
  <c r="K51" i="22"/>
  <c r="G55" i="22"/>
  <c r="K55" i="22"/>
  <c r="G56" i="22"/>
  <c r="K56" i="22"/>
  <c r="G57" i="22"/>
  <c r="K57" i="22"/>
  <c r="G58" i="22"/>
  <c r="K58" i="22"/>
  <c r="G59" i="22"/>
  <c r="K59" i="22"/>
  <c r="G60" i="22"/>
  <c r="K60" i="22"/>
  <c r="G61" i="22"/>
  <c r="K61" i="22"/>
  <c r="G62" i="22"/>
  <c r="K62" i="22"/>
  <c r="K63" i="22"/>
  <c r="G64" i="22"/>
  <c r="K64" i="22"/>
  <c r="K65" i="22"/>
  <c r="K66" i="22"/>
  <c r="K67" i="22"/>
  <c r="K68" i="22"/>
  <c r="K70" i="22"/>
  <c r="K71" i="22"/>
  <c r="G72" i="22"/>
  <c r="K72" i="22"/>
  <c r="K73" i="22"/>
  <c r="K74" i="22"/>
  <c r="I3" i="10"/>
  <c r="I2" i="10"/>
  <c r="I16" i="10"/>
  <c r="I17" i="10"/>
  <c r="I18" i="10"/>
  <c r="G68" i="25"/>
  <c r="K68" i="25"/>
  <c r="K73" i="25"/>
  <c r="G98" i="25"/>
  <c r="K98" i="25"/>
  <c r="K102" i="25"/>
  <c r="K94" i="25"/>
  <c r="K104" i="25"/>
  <c r="K106" i="25"/>
  <c r="E66" i="19"/>
  <c r="M98" i="25"/>
  <c r="M102" i="25"/>
  <c r="M104" i="25"/>
  <c r="M106" i="25"/>
  <c r="G66" i="19"/>
  <c r="N73" i="25"/>
  <c r="N98" i="25"/>
  <c r="N102" i="25"/>
  <c r="N94" i="25"/>
  <c r="N104" i="25"/>
  <c r="N106" i="25"/>
  <c r="H66" i="19"/>
  <c r="O73" i="25"/>
  <c r="O98" i="25"/>
  <c r="O102" i="25"/>
  <c r="O94" i="25"/>
  <c r="O104" i="25"/>
  <c r="O106" i="25"/>
  <c r="I66" i="19"/>
  <c r="J66" i="19"/>
  <c r="G90" i="22"/>
  <c r="K90" i="22"/>
  <c r="G91" i="22"/>
  <c r="K91" i="22"/>
  <c r="G92" i="22"/>
  <c r="K92" i="22"/>
  <c r="G93" i="22"/>
  <c r="K93" i="22"/>
  <c r="G94" i="22"/>
  <c r="K94" i="22"/>
  <c r="G83" i="22"/>
  <c r="K83" i="22"/>
  <c r="G84" i="22"/>
  <c r="K84" i="22"/>
  <c r="G85" i="22"/>
  <c r="K85" i="22"/>
  <c r="K97" i="22"/>
  <c r="K99" i="22"/>
  <c r="E67" i="19"/>
  <c r="R5" i="22"/>
  <c r="R93" i="22"/>
  <c r="S5" i="22"/>
  <c r="S93" i="22"/>
  <c r="T5" i="22"/>
  <c r="T93" i="22"/>
  <c r="U5" i="22"/>
  <c r="V5" i="22"/>
  <c r="W5" i="22"/>
  <c r="X5" i="22"/>
  <c r="L93" i="22"/>
  <c r="L90" i="22"/>
  <c r="L91" i="22"/>
  <c r="L92" i="22"/>
  <c r="L94" i="22"/>
  <c r="R84" i="22"/>
  <c r="S84" i="22"/>
  <c r="T84" i="22"/>
  <c r="L84" i="22"/>
  <c r="L83" i="22"/>
  <c r="L85" i="22"/>
  <c r="L97" i="22"/>
  <c r="M93" i="22"/>
  <c r="M84" i="22"/>
  <c r="M97" i="22"/>
  <c r="M99" i="22"/>
  <c r="G67" i="19"/>
  <c r="N97" i="22"/>
  <c r="N99" i="22"/>
  <c r="H67" i="19"/>
  <c r="O97" i="22"/>
  <c r="O99" i="22"/>
  <c r="I67" i="19"/>
  <c r="L7" i="22"/>
  <c r="L10" i="22"/>
  <c r="L11" i="22"/>
  <c r="L12" i="22"/>
  <c r="L13" i="22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L32" i="22"/>
  <c r="L33" i="22"/>
  <c r="L34" i="22"/>
  <c r="L35" i="22"/>
  <c r="L36" i="22"/>
  <c r="L37" i="22"/>
  <c r="L38" i="22"/>
  <c r="L39" i="22"/>
  <c r="L40" i="22"/>
  <c r="L41" i="22"/>
  <c r="L42" i="22"/>
  <c r="L43" i="22"/>
  <c r="L44" i="22"/>
  <c r="L45" i="22"/>
  <c r="L46" i="22"/>
  <c r="L47" i="22"/>
  <c r="L48" i="22"/>
  <c r="L49" i="22"/>
  <c r="L50" i="22"/>
  <c r="L51" i="22"/>
  <c r="L52" i="22"/>
  <c r="L55" i="22"/>
  <c r="L56" i="22"/>
  <c r="L57" i="22"/>
  <c r="L58" i="22"/>
  <c r="L59" i="22"/>
  <c r="L60" i="22"/>
  <c r="L61" i="22"/>
  <c r="L62" i="22"/>
  <c r="L63" i="22"/>
  <c r="L64" i="22"/>
  <c r="L65" i="22"/>
  <c r="L66" i="22"/>
  <c r="L67" i="22"/>
  <c r="L68" i="22"/>
  <c r="L70" i="22"/>
  <c r="L71" i="22"/>
  <c r="L72" i="22"/>
  <c r="L73" i="22"/>
  <c r="L74" i="22"/>
  <c r="L75" i="22"/>
  <c r="G17" i="23"/>
  <c r="K17" i="23"/>
  <c r="G18" i="23"/>
  <c r="K18" i="23"/>
  <c r="G19" i="23"/>
  <c r="K19" i="23"/>
  <c r="G20" i="23"/>
  <c r="K20" i="23"/>
  <c r="G21" i="23"/>
  <c r="K21" i="23"/>
  <c r="G22" i="23"/>
  <c r="K22" i="23"/>
  <c r="G23" i="23"/>
  <c r="K23" i="23"/>
  <c r="G24" i="23"/>
  <c r="K24" i="23"/>
  <c r="G25" i="23"/>
  <c r="K25" i="23"/>
  <c r="G26" i="23"/>
  <c r="K26" i="23"/>
  <c r="G27" i="23"/>
  <c r="K27" i="23"/>
  <c r="G28" i="23"/>
  <c r="K28" i="23"/>
  <c r="G29" i="23"/>
  <c r="K29" i="23"/>
  <c r="G30" i="23"/>
  <c r="K30" i="23"/>
  <c r="G31" i="23"/>
  <c r="K31" i="23"/>
  <c r="G32" i="23"/>
  <c r="K32" i="23"/>
  <c r="G33" i="23"/>
  <c r="K33" i="23"/>
  <c r="G34" i="23"/>
  <c r="K34" i="23"/>
  <c r="G35" i="23"/>
  <c r="K35" i="23"/>
  <c r="G36" i="23"/>
  <c r="K36" i="23"/>
  <c r="G37" i="23"/>
  <c r="K37" i="23"/>
  <c r="G38" i="23"/>
  <c r="K38" i="23"/>
  <c r="G39" i="23"/>
  <c r="K39" i="23"/>
  <c r="G40" i="23"/>
  <c r="K40" i="23"/>
  <c r="G41" i="23"/>
  <c r="K41" i="23"/>
  <c r="G42" i="23"/>
  <c r="K42" i="23"/>
  <c r="G43" i="23"/>
  <c r="K43" i="23"/>
  <c r="G44" i="23"/>
  <c r="K44" i="23"/>
  <c r="G45" i="23"/>
  <c r="K45" i="23"/>
  <c r="G46" i="23"/>
  <c r="K46" i="23"/>
  <c r="G47" i="23"/>
  <c r="K47" i="23"/>
  <c r="G48" i="23"/>
  <c r="K48" i="23"/>
  <c r="G49" i="23"/>
  <c r="K49" i="23"/>
  <c r="G50" i="23"/>
  <c r="K50" i="23"/>
  <c r="G51" i="23"/>
  <c r="K51" i="23"/>
  <c r="K52" i="23"/>
  <c r="G53" i="23"/>
  <c r="K53" i="23"/>
  <c r="K54" i="23"/>
  <c r="G55" i="23"/>
  <c r="K55" i="23"/>
  <c r="G59" i="23"/>
  <c r="K59" i="23"/>
  <c r="G60" i="23"/>
  <c r="K60" i="23"/>
  <c r="G61" i="23"/>
  <c r="K61" i="23"/>
  <c r="G62" i="23"/>
  <c r="K62" i="23"/>
  <c r="G63" i="23"/>
  <c r="K63" i="23"/>
  <c r="G64" i="23"/>
  <c r="K64" i="23"/>
  <c r="K65" i="23"/>
  <c r="G66" i="23"/>
  <c r="K66" i="23"/>
  <c r="G74" i="23"/>
  <c r="K74" i="23"/>
  <c r="K67" i="23"/>
  <c r="K68" i="23"/>
  <c r="K69" i="23"/>
  <c r="K70" i="23"/>
  <c r="K72" i="23"/>
  <c r="K73" i="23"/>
  <c r="K75" i="23"/>
  <c r="K76" i="23"/>
  <c r="G104" i="23"/>
  <c r="K104" i="23"/>
  <c r="G105" i="23"/>
  <c r="K105" i="23"/>
  <c r="G106" i="23"/>
  <c r="K106" i="23"/>
  <c r="G107" i="23"/>
  <c r="K107" i="23"/>
  <c r="G85" i="23"/>
  <c r="K85" i="23"/>
  <c r="G86" i="23"/>
  <c r="K86" i="23"/>
  <c r="G87" i="23"/>
  <c r="K87" i="23"/>
  <c r="G88" i="23"/>
  <c r="K88" i="23"/>
  <c r="G89" i="23"/>
  <c r="K89" i="23"/>
  <c r="G90" i="23"/>
  <c r="K90" i="23"/>
  <c r="G91" i="23"/>
  <c r="K91" i="23"/>
  <c r="G93" i="23"/>
  <c r="K93" i="23"/>
  <c r="G94" i="23"/>
  <c r="K94" i="23"/>
  <c r="G96" i="23"/>
  <c r="K96" i="23"/>
  <c r="G97" i="23"/>
  <c r="K97" i="23"/>
  <c r="G99" i="23"/>
  <c r="K99" i="23"/>
  <c r="K110" i="23"/>
  <c r="K112" i="23"/>
  <c r="E68" i="19"/>
  <c r="M104" i="23"/>
  <c r="M110" i="23"/>
  <c r="M112" i="23"/>
  <c r="G68" i="19"/>
  <c r="N110" i="23"/>
  <c r="N112" i="23"/>
  <c r="H68" i="19"/>
  <c r="O110" i="23"/>
  <c r="O112" i="23"/>
  <c r="I68" i="19"/>
  <c r="G17" i="24"/>
  <c r="K17" i="24"/>
  <c r="G18" i="24"/>
  <c r="K18" i="24"/>
  <c r="G19" i="24"/>
  <c r="K19" i="24"/>
  <c r="G20" i="24"/>
  <c r="K20" i="24"/>
  <c r="G21" i="24"/>
  <c r="K21" i="24"/>
  <c r="G22" i="24"/>
  <c r="K22" i="24"/>
  <c r="G23" i="24"/>
  <c r="K23" i="24"/>
  <c r="G24" i="24"/>
  <c r="K24" i="24"/>
  <c r="G25" i="24"/>
  <c r="K25" i="24"/>
  <c r="G26" i="24"/>
  <c r="K26" i="24"/>
  <c r="G27" i="24"/>
  <c r="K27" i="24"/>
  <c r="G28" i="24"/>
  <c r="K28" i="24"/>
  <c r="G29" i="24"/>
  <c r="K29" i="24"/>
  <c r="G30" i="24"/>
  <c r="K30" i="24"/>
  <c r="G31" i="24"/>
  <c r="K31" i="24"/>
  <c r="G32" i="24"/>
  <c r="K32" i="24"/>
  <c r="G33" i="24"/>
  <c r="K33" i="24"/>
  <c r="G34" i="24"/>
  <c r="K34" i="24"/>
  <c r="G35" i="24"/>
  <c r="K35" i="24"/>
  <c r="G36" i="24"/>
  <c r="K36" i="24"/>
  <c r="G37" i="24"/>
  <c r="K37" i="24"/>
  <c r="G38" i="24"/>
  <c r="K38" i="24"/>
  <c r="G39" i="24"/>
  <c r="K39" i="24"/>
  <c r="G40" i="24"/>
  <c r="K40" i="24"/>
  <c r="G41" i="24"/>
  <c r="K41" i="24"/>
  <c r="G42" i="24"/>
  <c r="K42" i="24"/>
  <c r="G43" i="24"/>
  <c r="K43" i="24"/>
  <c r="G44" i="24"/>
  <c r="K44" i="24"/>
  <c r="G45" i="24"/>
  <c r="K45" i="24"/>
  <c r="K46" i="24"/>
  <c r="G47" i="24"/>
  <c r="K47" i="24"/>
  <c r="K48" i="24"/>
  <c r="G49" i="24"/>
  <c r="K49" i="24"/>
  <c r="G53" i="24"/>
  <c r="K53" i="24"/>
  <c r="G54" i="24"/>
  <c r="K54" i="24"/>
  <c r="G55" i="24"/>
  <c r="K55" i="24"/>
  <c r="G56" i="24"/>
  <c r="K56" i="24"/>
  <c r="G57" i="24"/>
  <c r="K57" i="24"/>
  <c r="G58" i="24"/>
  <c r="K58" i="24"/>
  <c r="K59" i="24"/>
  <c r="G60" i="24"/>
  <c r="K60" i="24"/>
  <c r="G68" i="24"/>
  <c r="K68" i="24"/>
  <c r="K61" i="24"/>
  <c r="K62" i="24"/>
  <c r="K63" i="24"/>
  <c r="K64" i="24"/>
  <c r="K66" i="24"/>
  <c r="K67" i="24"/>
  <c r="K69" i="24"/>
  <c r="K70" i="24"/>
  <c r="G98" i="24"/>
  <c r="K98" i="24"/>
  <c r="G99" i="24"/>
  <c r="K99" i="24"/>
  <c r="G100" i="24"/>
  <c r="K100" i="24"/>
  <c r="G101" i="24"/>
  <c r="K101" i="24"/>
  <c r="G79" i="24"/>
  <c r="K79" i="24"/>
  <c r="G80" i="24"/>
  <c r="K80" i="24"/>
  <c r="G81" i="24"/>
  <c r="K81" i="24"/>
  <c r="G82" i="24"/>
  <c r="K82" i="24"/>
  <c r="G83" i="24"/>
  <c r="K83" i="24"/>
  <c r="G84" i="24"/>
  <c r="K84" i="24"/>
  <c r="G85" i="24"/>
  <c r="K85" i="24"/>
  <c r="G87" i="24"/>
  <c r="K87" i="24"/>
  <c r="G88" i="24"/>
  <c r="K88" i="24"/>
  <c r="G90" i="24"/>
  <c r="K90" i="24"/>
  <c r="G91" i="24"/>
  <c r="K91" i="24"/>
  <c r="G93" i="24"/>
  <c r="K93" i="24"/>
  <c r="K104" i="24"/>
  <c r="K106" i="24"/>
  <c r="E69" i="19"/>
  <c r="M98" i="24"/>
  <c r="M104" i="24"/>
  <c r="M106" i="24"/>
  <c r="G69" i="19"/>
  <c r="N104" i="24"/>
  <c r="N106" i="24"/>
  <c r="H69" i="19"/>
  <c r="O104" i="24"/>
  <c r="O106" i="24"/>
  <c r="I69" i="19"/>
  <c r="G17" i="14"/>
  <c r="K17" i="14"/>
  <c r="G18" i="14"/>
  <c r="K18" i="14"/>
  <c r="I14" i="10"/>
  <c r="G19" i="14"/>
  <c r="K19" i="14"/>
  <c r="G20" i="14"/>
  <c r="K20" i="14"/>
  <c r="G21" i="14"/>
  <c r="K21" i="14"/>
  <c r="G22" i="14"/>
  <c r="K22" i="14"/>
  <c r="G23" i="14"/>
  <c r="K23" i="14"/>
  <c r="G24" i="14"/>
  <c r="K24" i="14"/>
  <c r="G25" i="14"/>
  <c r="K25" i="14"/>
  <c r="G26" i="14"/>
  <c r="K26" i="14"/>
  <c r="G27" i="14"/>
  <c r="K27" i="14"/>
  <c r="G28" i="14"/>
  <c r="K28" i="14"/>
  <c r="G29" i="14"/>
  <c r="K29" i="14"/>
  <c r="G30" i="14"/>
  <c r="K30" i="14"/>
  <c r="G31" i="14"/>
  <c r="K31" i="14"/>
  <c r="G32" i="14"/>
  <c r="K32" i="14"/>
  <c r="G33" i="14"/>
  <c r="K33" i="14"/>
  <c r="G34" i="14"/>
  <c r="K34" i="14"/>
  <c r="G35" i="14"/>
  <c r="K35" i="14"/>
  <c r="G36" i="14"/>
  <c r="K36" i="14"/>
  <c r="G37" i="14"/>
  <c r="K37" i="14"/>
  <c r="G38" i="14"/>
  <c r="K38" i="14"/>
  <c r="G39" i="14"/>
  <c r="K39" i="14"/>
  <c r="G40" i="14"/>
  <c r="K40" i="14"/>
  <c r="K41" i="14"/>
  <c r="G42" i="14"/>
  <c r="K42" i="14"/>
  <c r="G44" i="14"/>
  <c r="K44" i="14"/>
  <c r="G45" i="14"/>
  <c r="K45" i="14"/>
  <c r="G48" i="14"/>
  <c r="K48" i="14"/>
  <c r="G49" i="14"/>
  <c r="K49" i="14"/>
  <c r="G50" i="14"/>
  <c r="K50" i="14"/>
  <c r="G51" i="14"/>
  <c r="K51" i="14"/>
  <c r="G52" i="14"/>
  <c r="K52" i="14"/>
  <c r="G53" i="14"/>
  <c r="K53" i="14"/>
  <c r="G62" i="14"/>
  <c r="K62" i="14"/>
  <c r="K54" i="14"/>
  <c r="K55" i="14"/>
  <c r="K56" i="14"/>
  <c r="K57" i="14"/>
  <c r="K58" i="14"/>
  <c r="K43" i="14"/>
  <c r="K60" i="14"/>
  <c r="K61" i="14"/>
  <c r="K63" i="14"/>
  <c r="K64" i="14"/>
  <c r="G76" i="14"/>
  <c r="K76" i="14"/>
  <c r="G77" i="14"/>
  <c r="K77" i="14"/>
  <c r="G78" i="14"/>
  <c r="K78" i="14"/>
  <c r="G79" i="14"/>
  <c r="K79" i="14"/>
  <c r="G80" i="14"/>
  <c r="K80" i="14"/>
  <c r="G81" i="14"/>
  <c r="K81" i="14"/>
  <c r="G84" i="14"/>
  <c r="K84" i="14"/>
  <c r="G85" i="14"/>
  <c r="K85" i="14"/>
  <c r="G86" i="14"/>
  <c r="K86" i="14"/>
  <c r="G87" i="14"/>
  <c r="K87" i="14"/>
  <c r="G88" i="14"/>
  <c r="K88" i="14"/>
  <c r="G90" i="14"/>
  <c r="K90" i="14"/>
  <c r="G91" i="14"/>
  <c r="K91" i="14"/>
  <c r="G92" i="14"/>
  <c r="K92" i="14"/>
  <c r="G93" i="14"/>
  <c r="K93" i="14"/>
  <c r="G95" i="14"/>
  <c r="K95" i="14"/>
  <c r="G96" i="14"/>
  <c r="K96" i="14"/>
  <c r="G97" i="14"/>
  <c r="K97" i="14"/>
  <c r="G98" i="14"/>
  <c r="K98" i="14"/>
  <c r="K100" i="14"/>
  <c r="K103" i="14"/>
  <c r="E70" i="19"/>
  <c r="B3" i="14"/>
  <c r="M72" i="14"/>
  <c r="M76" i="14"/>
  <c r="M77" i="14"/>
  <c r="M78" i="14"/>
  <c r="M79" i="14"/>
  <c r="M80" i="14"/>
  <c r="M81" i="14"/>
  <c r="M84" i="14"/>
  <c r="M85" i="14"/>
  <c r="M90" i="14"/>
  <c r="M91" i="14"/>
  <c r="M92" i="14"/>
  <c r="M93" i="14"/>
  <c r="M95" i="14"/>
  <c r="M96" i="14"/>
  <c r="M97" i="14"/>
  <c r="M98" i="14"/>
  <c r="M100" i="14"/>
  <c r="M103" i="14"/>
  <c r="G70" i="19"/>
  <c r="N72" i="14"/>
  <c r="N76" i="14"/>
  <c r="N77" i="14"/>
  <c r="N78" i="14"/>
  <c r="N79" i="14"/>
  <c r="N80" i="14"/>
  <c r="N81" i="14"/>
  <c r="N84" i="14"/>
  <c r="N85" i="14"/>
  <c r="N86" i="14"/>
  <c r="N87" i="14"/>
  <c r="N88" i="14"/>
  <c r="N90" i="14"/>
  <c r="N91" i="14"/>
  <c r="N92" i="14"/>
  <c r="N93" i="14"/>
  <c r="N95" i="14"/>
  <c r="N96" i="14"/>
  <c r="N97" i="14"/>
  <c r="N98" i="14"/>
  <c r="N100" i="14"/>
  <c r="N103" i="14"/>
  <c r="H70" i="19"/>
  <c r="O72" i="14"/>
  <c r="O76" i="14"/>
  <c r="O77" i="14"/>
  <c r="O78" i="14"/>
  <c r="O79" i="14"/>
  <c r="O80" i="14"/>
  <c r="O81" i="14"/>
  <c r="O84" i="14"/>
  <c r="O85" i="14"/>
  <c r="O90" i="14"/>
  <c r="O91" i="14"/>
  <c r="O92" i="14"/>
  <c r="O93" i="14"/>
  <c r="O95" i="14"/>
  <c r="O96" i="14"/>
  <c r="O97" i="14"/>
  <c r="O98" i="14"/>
  <c r="O100" i="14"/>
  <c r="O103" i="14"/>
  <c r="I70" i="19"/>
  <c r="G17" i="12"/>
  <c r="K17" i="12"/>
  <c r="G18" i="12"/>
  <c r="K18" i="12"/>
  <c r="G19" i="12"/>
  <c r="K19" i="12"/>
  <c r="G20" i="12"/>
  <c r="K20" i="12"/>
  <c r="G21" i="12"/>
  <c r="K21" i="12"/>
  <c r="G22" i="12"/>
  <c r="K22" i="12"/>
  <c r="G23" i="12"/>
  <c r="K23" i="12"/>
  <c r="G24" i="12"/>
  <c r="K24" i="12"/>
  <c r="G25" i="12"/>
  <c r="K25" i="12"/>
  <c r="G26" i="12"/>
  <c r="K26" i="12"/>
  <c r="G27" i="12"/>
  <c r="K27" i="12"/>
  <c r="G28" i="12"/>
  <c r="K28" i="12"/>
  <c r="G29" i="12"/>
  <c r="K29" i="12"/>
  <c r="G30" i="12"/>
  <c r="K30" i="12"/>
  <c r="G31" i="12"/>
  <c r="K31" i="12"/>
  <c r="G32" i="12"/>
  <c r="K32" i="12"/>
  <c r="G33" i="12"/>
  <c r="K33" i="12"/>
  <c r="G34" i="12"/>
  <c r="K34" i="12"/>
  <c r="G35" i="12"/>
  <c r="K35" i="12"/>
  <c r="G36" i="12"/>
  <c r="K36" i="12"/>
  <c r="G37" i="12"/>
  <c r="K37" i="12"/>
  <c r="G38" i="12"/>
  <c r="K38" i="12"/>
  <c r="G39" i="12"/>
  <c r="K39" i="12"/>
  <c r="G40" i="12"/>
  <c r="K40" i="12"/>
  <c r="K41" i="12"/>
  <c r="G42" i="12"/>
  <c r="K42" i="12"/>
  <c r="K43" i="12"/>
  <c r="G44" i="12"/>
  <c r="K44" i="12"/>
  <c r="G48" i="12"/>
  <c r="K48" i="12"/>
  <c r="G49" i="12"/>
  <c r="K49" i="12"/>
  <c r="G50" i="12"/>
  <c r="K50" i="12"/>
  <c r="G51" i="12"/>
  <c r="K51" i="12"/>
  <c r="G59" i="12"/>
  <c r="K59" i="12"/>
  <c r="K52" i="12"/>
  <c r="K53" i="12"/>
  <c r="K54" i="12"/>
  <c r="K55" i="12"/>
  <c r="K57" i="12"/>
  <c r="K58" i="12"/>
  <c r="K60" i="12"/>
  <c r="K61" i="12"/>
  <c r="G73" i="12"/>
  <c r="K73" i="12"/>
  <c r="G74" i="12"/>
  <c r="K74" i="12"/>
  <c r="G75" i="12"/>
  <c r="K75" i="12"/>
  <c r="G76" i="12"/>
  <c r="K76" i="12"/>
  <c r="G77" i="12"/>
  <c r="K77" i="12"/>
  <c r="G78" i="12"/>
  <c r="K78" i="12"/>
  <c r="G81" i="12"/>
  <c r="K81" i="12"/>
  <c r="G82" i="12"/>
  <c r="K82" i="12"/>
  <c r="G83" i="12"/>
  <c r="K83" i="12"/>
  <c r="G84" i="12"/>
  <c r="K84" i="12"/>
  <c r="G85" i="12"/>
  <c r="K85" i="12"/>
  <c r="G87" i="12"/>
  <c r="K87" i="12"/>
  <c r="G88" i="12"/>
  <c r="K88" i="12"/>
  <c r="G89" i="12"/>
  <c r="K89" i="12"/>
  <c r="G90" i="12"/>
  <c r="K90" i="12"/>
  <c r="G92" i="12"/>
  <c r="K92" i="12"/>
  <c r="G93" i="12"/>
  <c r="K93" i="12"/>
  <c r="G94" i="12"/>
  <c r="K94" i="12"/>
  <c r="G95" i="12"/>
  <c r="K95" i="12"/>
  <c r="K97" i="12"/>
  <c r="K100" i="12"/>
  <c r="E71" i="19"/>
  <c r="B3" i="12"/>
  <c r="M69" i="12"/>
  <c r="M73" i="12"/>
  <c r="M74" i="12"/>
  <c r="M75" i="12"/>
  <c r="M76" i="12"/>
  <c r="M77" i="12"/>
  <c r="M78" i="12"/>
  <c r="M81" i="12"/>
  <c r="M82" i="12"/>
  <c r="M87" i="12"/>
  <c r="M88" i="12"/>
  <c r="M89" i="12"/>
  <c r="M90" i="12"/>
  <c r="M92" i="12"/>
  <c r="M93" i="12"/>
  <c r="M94" i="12"/>
  <c r="M95" i="12"/>
  <c r="M97" i="12"/>
  <c r="M100" i="12"/>
  <c r="G71" i="19"/>
  <c r="N69" i="12"/>
  <c r="N73" i="12"/>
  <c r="N74" i="12"/>
  <c r="N75" i="12"/>
  <c r="N76" i="12"/>
  <c r="N77" i="12"/>
  <c r="N78" i="12"/>
  <c r="N81" i="12"/>
  <c r="N82" i="12"/>
  <c r="N83" i="12"/>
  <c r="N84" i="12"/>
  <c r="N85" i="12"/>
  <c r="N87" i="12"/>
  <c r="N88" i="12"/>
  <c r="N89" i="12"/>
  <c r="N90" i="12"/>
  <c r="N92" i="12"/>
  <c r="N93" i="12"/>
  <c r="N94" i="12"/>
  <c r="N95" i="12"/>
  <c r="N97" i="12"/>
  <c r="N100" i="12"/>
  <c r="H71" i="19"/>
  <c r="O69" i="12"/>
  <c r="O73" i="12"/>
  <c r="O74" i="12"/>
  <c r="O75" i="12"/>
  <c r="O76" i="12"/>
  <c r="O77" i="12"/>
  <c r="O78" i="12"/>
  <c r="O81" i="12"/>
  <c r="O82" i="12"/>
  <c r="O87" i="12"/>
  <c r="O88" i="12"/>
  <c r="O89" i="12"/>
  <c r="O90" i="12"/>
  <c r="O92" i="12"/>
  <c r="O93" i="12"/>
  <c r="O94" i="12"/>
  <c r="O95" i="12"/>
  <c r="O97" i="12"/>
  <c r="O100" i="12"/>
  <c r="I71" i="19"/>
  <c r="G17" i="13"/>
  <c r="K17" i="13"/>
  <c r="G18" i="13"/>
  <c r="K18" i="13"/>
  <c r="G19" i="13"/>
  <c r="K19" i="13"/>
  <c r="G20" i="13"/>
  <c r="K20" i="13"/>
  <c r="G21" i="13"/>
  <c r="K21" i="13"/>
  <c r="G22" i="13"/>
  <c r="K22" i="13"/>
  <c r="G23" i="13"/>
  <c r="K23" i="13"/>
  <c r="G24" i="13"/>
  <c r="K24" i="13"/>
  <c r="G25" i="13"/>
  <c r="K25" i="13"/>
  <c r="G26" i="13"/>
  <c r="K26" i="13"/>
  <c r="G27" i="13"/>
  <c r="K27" i="13"/>
  <c r="G28" i="13"/>
  <c r="K28" i="13"/>
  <c r="G29" i="13"/>
  <c r="K29" i="13"/>
  <c r="G30" i="13"/>
  <c r="K30" i="13"/>
  <c r="G31" i="13"/>
  <c r="K31" i="13"/>
  <c r="G32" i="13"/>
  <c r="K32" i="13"/>
  <c r="G33" i="13"/>
  <c r="K33" i="13"/>
  <c r="G34" i="13"/>
  <c r="K34" i="13"/>
  <c r="G35" i="13"/>
  <c r="K35" i="13"/>
  <c r="G36" i="13"/>
  <c r="K36" i="13"/>
  <c r="G37" i="13"/>
  <c r="K37" i="13"/>
  <c r="G38" i="13"/>
  <c r="K38" i="13"/>
  <c r="G39" i="13"/>
  <c r="K39" i="13"/>
  <c r="G40" i="13"/>
  <c r="K40" i="13"/>
  <c r="G41" i="13"/>
  <c r="K41" i="13"/>
  <c r="G42" i="13"/>
  <c r="K42" i="13"/>
  <c r="K43" i="13"/>
  <c r="G44" i="13"/>
  <c r="K44" i="13"/>
  <c r="K45" i="13"/>
  <c r="G46" i="13"/>
  <c r="K46" i="13"/>
  <c r="G47" i="13"/>
  <c r="K47" i="13"/>
  <c r="G50" i="13"/>
  <c r="K50" i="13"/>
  <c r="G51" i="13"/>
  <c r="K51" i="13"/>
  <c r="G52" i="13"/>
  <c r="K52" i="13"/>
  <c r="G53" i="13"/>
  <c r="K53" i="13"/>
  <c r="G54" i="13"/>
  <c r="K54" i="13"/>
  <c r="G62" i="13"/>
  <c r="K62" i="13"/>
  <c r="K55" i="13"/>
  <c r="K56" i="13"/>
  <c r="K57" i="13"/>
  <c r="K58" i="13"/>
  <c r="K60" i="13"/>
  <c r="K61" i="13"/>
  <c r="K63" i="13"/>
  <c r="K64" i="13"/>
  <c r="G73" i="13"/>
  <c r="K73" i="13"/>
  <c r="G74" i="13"/>
  <c r="K74" i="13"/>
  <c r="G75" i="13"/>
  <c r="K75" i="13"/>
  <c r="K81" i="13"/>
  <c r="E72" i="19"/>
  <c r="R5" i="13"/>
  <c r="R75" i="13"/>
  <c r="S5" i="13"/>
  <c r="S75" i="13"/>
  <c r="T5" i="13"/>
  <c r="T75" i="13"/>
  <c r="U5" i="13"/>
  <c r="V5" i="13"/>
  <c r="W5" i="13"/>
  <c r="X5" i="13"/>
  <c r="L75" i="13"/>
  <c r="L73" i="13"/>
  <c r="L74" i="13"/>
  <c r="L7" i="13"/>
  <c r="L10" i="13"/>
  <c r="L11" i="13"/>
  <c r="L12" i="13"/>
  <c r="L17" i="13"/>
  <c r="L18" i="13"/>
  <c r="L19" i="13"/>
  <c r="L20" i="13"/>
  <c r="L21" i="13"/>
  <c r="L22" i="13"/>
  <c r="L23" i="13"/>
  <c r="L24" i="13"/>
  <c r="L25" i="13"/>
  <c r="L26" i="13"/>
  <c r="L27" i="13"/>
  <c r="L28" i="13"/>
  <c r="L29" i="13"/>
  <c r="L30" i="13"/>
  <c r="L31" i="13"/>
  <c r="L32" i="13"/>
  <c r="L33" i="13"/>
  <c r="L34" i="13"/>
  <c r="L35" i="13"/>
  <c r="L36" i="13"/>
  <c r="L37" i="13"/>
  <c r="L38" i="13"/>
  <c r="L39" i="13"/>
  <c r="L40" i="13"/>
  <c r="L41" i="13"/>
  <c r="L42" i="13"/>
  <c r="L43" i="13"/>
  <c r="L44" i="13"/>
  <c r="L45" i="13"/>
  <c r="L46" i="13"/>
  <c r="L47" i="13"/>
  <c r="L50" i="13"/>
  <c r="L51" i="13"/>
  <c r="L52" i="13"/>
  <c r="L53" i="13"/>
  <c r="L54" i="13"/>
  <c r="L55" i="13"/>
  <c r="L56" i="13"/>
  <c r="L57" i="13"/>
  <c r="L58" i="13"/>
  <c r="L60" i="13"/>
  <c r="L61" i="13"/>
  <c r="L62" i="13"/>
  <c r="L63" i="13"/>
  <c r="L64" i="13"/>
  <c r="L65" i="13"/>
  <c r="L81" i="13"/>
  <c r="F72" i="19"/>
  <c r="M75" i="13"/>
  <c r="M81" i="13"/>
  <c r="G72" i="19"/>
  <c r="N81" i="13"/>
  <c r="H72" i="19"/>
  <c r="O81" i="13"/>
  <c r="I72" i="19"/>
  <c r="J72" i="19"/>
  <c r="G17" i="15"/>
  <c r="K17" i="15"/>
  <c r="G18" i="15"/>
  <c r="K18" i="15"/>
  <c r="G19" i="15"/>
  <c r="K19" i="15"/>
  <c r="G20" i="15"/>
  <c r="K20" i="15"/>
  <c r="G21" i="15"/>
  <c r="K21" i="15"/>
  <c r="G22" i="15"/>
  <c r="K22" i="15"/>
  <c r="G23" i="15"/>
  <c r="K23" i="15"/>
  <c r="G24" i="15"/>
  <c r="K24" i="15"/>
  <c r="G25" i="15"/>
  <c r="K25" i="15"/>
  <c r="G26" i="15"/>
  <c r="K26" i="15"/>
  <c r="G27" i="15"/>
  <c r="K27" i="15"/>
  <c r="G28" i="15"/>
  <c r="K28" i="15"/>
  <c r="G29" i="15"/>
  <c r="K29" i="15"/>
  <c r="G30" i="15"/>
  <c r="K30" i="15"/>
  <c r="G31" i="15"/>
  <c r="K31" i="15"/>
  <c r="G32" i="15"/>
  <c r="K32" i="15"/>
  <c r="G33" i="15"/>
  <c r="K33" i="15"/>
  <c r="G34" i="15"/>
  <c r="K34" i="15"/>
  <c r="G35" i="15"/>
  <c r="K35" i="15"/>
  <c r="G36" i="15"/>
  <c r="K36" i="15"/>
  <c r="G37" i="15"/>
  <c r="K37" i="15"/>
  <c r="G38" i="15"/>
  <c r="K38" i="15"/>
  <c r="G39" i="15"/>
  <c r="K39" i="15"/>
  <c r="G40" i="15"/>
  <c r="K40" i="15"/>
  <c r="G41" i="15"/>
  <c r="K41" i="15"/>
  <c r="G42" i="15"/>
  <c r="K42" i="15"/>
  <c r="K43" i="15"/>
  <c r="G44" i="15"/>
  <c r="K44" i="15"/>
  <c r="G46" i="15"/>
  <c r="K46" i="15"/>
  <c r="G47" i="15"/>
  <c r="K47" i="15"/>
  <c r="G50" i="15"/>
  <c r="K50" i="15"/>
  <c r="G51" i="15"/>
  <c r="K51" i="15"/>
  <c r="G52" i="15"/>
  <c r="K52" i="15"/>
  <c r="G53" i="15"/>
  <c r="K53" i="15"/>
  <c r="G54" i="15"/>
  <c r="K54" i="15"/>
  <c r="G55" i="15"/>
  <c r="K55" i="15"/>
  <c r="G57" i="15"/>
  <c r="K57" i="15"/>
  <c r="G64" i="15"/>
  <c r="K64" i="15"/>
  <c r="K59" i="15"/>
  <c r="K60" i="15"/>
  <c r="K45" i="15"/>
  <c r="K56" i="15"/>
  <c r="K58" i="15"/>
  <c r="K62" i="15"/>
  <c r="K63" i="15"/>
  <c r="K65" i="15"/>
  <c r="K66" i="15"/>
  <c r="G75" i="15"/>
  <c r="K75" i="15"/>
  <c r="G76" i="15"/>
  <c r="K76" i="15"/>
  <c r="G77" i="15"/>
  <c r="K77" i="15"/>
  <c r="G78" i="15"/>
  <c r="K78" i="15"/>
  <c r="G83" i="15"/>
  <c r="K83" i="15"/>
  <c r="G84" i="15"/>
  <c r="K84" i="15"/>
  <c r="G85" i="15"/>
  <c r="K85" i="15"/>
  <c r="G86" i="15"/>
  <c r="K86" i="15"/>
  <c r="G87" i="15"/>
  <c r="K87" i="15"/>
  <c r="G88" i="15"/>
  <c r="K88" i="15"/>
  <c r="G89" i="15"/>
  <c r="K89" i="15"/>
  <c r="G90" i="15"/>
  <c r="K90" i="15"/>
  <c r="K96" i="15"/>
  <c r="E73" i="19"/>
  <c r="R5" i="15"/>
  <c r="R76" i="15"/>
  <c r="S5" i="15"/>
  <c r="S76" i="15"/>
  <c r="T5" i="15"/>
  <c r="T76" i="15"/>
  <c r="U5" i="15"/>
  <c r="V5" i="15"/>
  <c r="W5" i="15"/>
  <c r="X5" i="15"/>
  <c r="L76" i="15"/>
  <c r="L75" i="15"/>
  <c r="L77" i="15"/>
  <c r="L78" i="15"/>
  <c r="R87" i="15"/>
  <c r="S87" i="15"/>
  <c r="T87" i="15"/>
  <c r="L87" i="15"/>
  <c r="L83" i="15"/>
  <c r="L84" i="15"/>
  <c r="L85" i="15"/>
  <c r="L86" i="15"/>
  <c r="L88" i="15"/>
  <c r="L89" i="15"/>
  <c r="L90" i="15"/>
  <c r="L7" i="15"/>
  <c r="L10" i="15"/>
  <c r="L11" i="15"/>
  <c r="L12" i="15"/>
  <c r="L17" i="15"/>
  <c r="L18" i="15"/>
  <c r="L19" i="15"/>
  <c r="L20" i="15"/>
  <c r="L21" i="15"/>
  <c r="L22" i="15"/>
  <c r="L23" i="15"/>
  <c r="L24" i="15"/>
  <c r="L25" i="15"/>
  <c r="L26" i="15"/>
  <c r="L27" i="15"/>
  <c r="L28" i="15"/>
  <c r="L29" i="15"/>
  <c r="L30" i="15"/>
  <c r="L31" i="15"/>
  <c r="L32" i="15"/>
  <c r="L33" i="15"/>
  <c r="L34" i="15"/>
  <c r="L35" i="15"/>
  <c r="L36" i="15"/>
  <c r="L37" i="15"/>
  <c r="L38" i="15"/>
  <c r="L39" i="15"/>
  <c r="L40" i="15"/>
  <c r="L41" i="15"/>
  <c r="L42" i="15"/>
  <c r="L43" i="15"/>
  <c r="L44" i="15"/>
  <c r="L45" i="15"/>
  <c r="L46" i="15"/>
  <c r="L47" i="15"/>
  <c r="L50" i="15"/>
  <c r="L51" i="15"/>
  <c r="L52" i="15"/>
  <c r="L53" i="15"/>
  <c r="L54" i="15"/>
  <c r="L55" i="15"/>
  <c r="L56" i="15"/>
  <c r="L57" i="15"/>
  <c r="L58" i="15"/>
  <c r="L59" i="15"/>
  <c r="L60" i="15"/>
  <c r="L62" i="15"/>
  <c r="L63" i="15"/>
  <c r="L64" i="15"/>
  <c r="L65" i="15"/>
  <c r="L66" i="15"/>
  <c r="L67" i="15"/>
  <c r="L96" i="15"/>
  <c r="F73" i="19"/>
  <c r="M76" i="15"/>
  <c r="M87" i="15"/>
  <c r="M96" i="15"/>
  <c r="G73" i="19"/>
  <c r="N96" i="15"/>
  <c r="H73" i="19"/>
  <c r="O96" i="15"/>
  <c r="I73" i="19"/>
  <c r="J73" i="19"/>
  <c r="G17" i="16"/>
  <c r="K17" i="16"/>
  <c r="G18" i="16"/>
  <c r="K18" i="16"/>
  <c r="G19" i="16"/>
  <c r="K19" i="16"/>
  <c r="G20" i="16"/>
  <c r="K20" i="16"/>
  <c r="G21" i="16"/>
  <c r="K21" i="16"/>
  <c r="G22" i="16"/>
  <c r="K22" i="16"/>
  <c r="G23" i="16"/>
  <c r="K23" i="16"/>
  <c r="G24" i="16"/>
  <c r="K24" i="16"/>
  <c r="G25" i="16"/>
  <c r="K25" i="16"/>
  <c r="G26" i="16"/>
  <c r="K26" i="16"/>
  <c r="G27" i="16"/>
  <c r="K27" i="16"/>
  <c r="G28" i="16"/>
  <c r="K28" i="16"/>
  <c r="G29" i="16"/>
  <c r="K29" i="16"/>
  <c r="G30" i="16"/>
  <c r="K30" i="16"/>
  <c r="G31" i="16"/>
  <c r="K31" i="16"/>
  <c r="G32" i="16"/>
  <c r="K32" i="16"/>
  <c r="G33" i="16"/>
  <c r="K33" i="16"/>
  <c r="G34" i="16"/>
  <c r="K34" i="16"/>
  <c r="G35" i="16"/>
  <c r="K35" i="16"/>
  <c r="G36" i="16"/>
  <c r="K36" i="16"/>
  <c r="G37" i="16"/>
  <c r="K37" i="16"/>
  <c r="G38" i="16"/>
  <c r="K38" i="16"/>
  <c r="G39" i="16"/>
  <c r="K39" i="16"/>
  <c r="G40" i="16"/>
  <c r="K40" i="16"/>
  <c r="G41" i="16"/>
  <c r="K41" i="16"/>
  <c r="G42" i="16"/>
  <c r="K42" i="16"/>
  <c r="K43" i="16"/>
  <c r="G44" i="16"/>
  <c r="K44" i="16"/>
  <c r="G46" i="16"/>
  <c r="K46" i="16"/>
  <c r="G47" i="16"/>
  <c r="K47" i="16"/>
  <c r="G50" i="16"/>
  <c r="K50" i="16"/>
  <c r="G61" i="16"/>
  <c r="K61" i="16"/>
  <c r="K45" i="16"/>
  <c r="K54" i="16"/>
  <c r="K55" i="16"/>
  <c r="K56" i="16"/>
  <c r="K57" i="16"/>
  <c r="K59" i="16"/>
  <c r="K60" i="16"/>
  <c r="K62" i="16"/>
  <c r="K63" i="16"/>
  <c r="G71" i="16"/>
  <c r="K71" i="16"/>
  <c r="G72" i="16"/>
  <c r="K72" i="16"/>
  <c r="K75" i="16"/>
  <c r="K78" i="16"/>
  <c r="E74" i="19"/>
  <c r="R5" i="16"/>
  <c r="R21" i="16"/>
  <c r="S5" i="16"/>
  <c r="S21" i="16"/>
  <c r="T5" i="16"/>
  <c r="T21" i="16"/>
  <c r="U5" i="16"/>
  <c r="V5" i="16"/>
  <c r="W5" i="16"/>
  <c r="X5" i="16"/>
  <c r="L21" i="16"/>
  <c r="L7" i="16"/>
  <c r="L10" i="16"/>
  <c r="L11" i="16"/>
  <c r="L12" i="16"/>
  <c r="L17" i="16"/>
  <c r="L18" i="16"/>
  <c r="L19" i="16"/>
  <c r="L20" i="16"/>
  <c r="L22" i="16"/>
  <c r="L23" i="16"/>
  <c r="L24" i="16"/>
  <c r="L25" i="16"/>
  <c r="L26" i="16"/>
  <c r="L27" i="16"/>
  <c r="L28" i="16"/>
  <c r="L29" i="16"/>
  <c r="L30" i="16"/>
  <c r="L31" i="16"/>
  <c r="L32" i="16"/>
  <c r="L33" i="16"/>
  <c r="L34" i="16"/>
  <c r="L35" i="16"/>
  <c r="L36" i="16"/>
  <c r="L37" i="16"/>
  <c r="L38" i="16"/>
  <c r="L39" i="16"/>
  <c r="L40" i="16"/>
  <c r="L41" i="16"/>
  <c r="L42" i="16"/>
  <c r="L43" i="16"/>
  <c r="L44" i="16"/>
  <c r="L45" i="16"/>
  <c r="L46" i="16"/>
  <c r="L47" i="16"/>
  <c r="L50" i="16"/>
  <c r="L54" i="16"/>
  <c r="L55" i="16"/>
  <c r="L56" i="16"/>
  <c r="L57" i="16"/>
  <c r="L59" i="16"/>
  <c r="L60" i="16"/>
  <c r="L61" i="16"/>
  <c r="L62" i="16"/>
  <c r="L63" i="16"/>
  <c r="L64" i="16"/>
  <c r="M21" i="16"/>
  <c r="M75" i="16"/>
  <c r="M78" i="16"/>
  <c r="G74" i="19"/>
  <c r="N75" i="16"/>
  <c r="N78" i="16"/>
  <c r="H74" i="19"/>
  <c r="O75" i="16"/>
  <c r="O78" i="16"/>
  <c r="I74" i="19"/>
  <c r="D68" i="25"/>
  <c r="E68" i="25"/>
  <c r="F68" i="25"/>
  <c r="P46" i="25"/>
  <c r="P48" i="25"/>
  <c r="P59" i="25"/>
  <c r="D98" i="25"/>
  <c r="F98" i="25"/>
  <c r="D99" i="25"/>
  <c r="F99" i="25"/>
  <c r="P98" i="25"/>
  <c r="F104" i="22"/>
  <c r="F105" i="22"/>
  <c r="F106" i="22"/>
  <c r="F107" i="22"/>
  <c r="D83" i="22"/>
  <c r="E83" i="22"/>
  <c r="F83" i="22"/>
  <c r="D84" i="22"/>
  <c r="E84" i="22"/>
  <c r="F84" i="22"/>
  <c r="D85" i="22"/>
  <c r="E85" i="22"/>
  <c r="F85" i="22"/>
  <c r="F122" i="22"/>
  <c r="F123" i="22"/>
  <c r="F124" i="22"/>
  <c r="F125" i="22"/>
  <c r="D90" i="22"/>
  <c r="E90" i="22"/>
  <c r="F90" i="22"/>
  <c r="D91" i="22"/>
  <c r="E91" i="22"/>
  <c r="F91" i="22"/>
  <c r="D92" i="22"/>
  <c r="E92" i="22"/>
  <c r="F92" i="22"/>
  <c r="D93" i="22"/>
  <c r="E93" i="22"/>
  <c r="F93" i="22"/>
  <c r="D94" i="22"/>
  <c r="E94" i="22"/>
  <c r="F94" i="22"/>
  <c r="F128" i="22"/>
  <c r="F129" i="22"/>
  <c r="F130" i="22"/>
  <c r="F131" i="22"/>
  <c r="D17" i="23"/>
  <c r="E17" i="23"/>
  <c r="F17" i="23"/>
  <c r="D18" i="23"/>
  <c r="E18" i="23"/>
  <c r="F18" i="23"/>
  <c r="D19" i="23"/>
  <c r="E19" i="23"/>
  <c r="F19" i="23"/>
  <c r="D20" i="23"/>
  <c r="E20" i="23"/>
  <c r="F20" i="23"/>
  <c r="D21" i="23"/>
  <c r="E21" i="23"/>
  <c r="F21" i="23"/>
  <c r="D22" i="23"/>
  <c r="E22" i="23"/>
  <c r="F22" i="23"/>
  <c r="D23" i="23"/>
  <c r="E23" i="23"/>
  <c r="F23" i="23"/>
  <c r="D24" i="23"/>
  <c r="E24" i="23"/>
  <c r="F24" i="23"/>
  <c r="D25" i="23"/>
  <c r="E25" i="23"/>
  <c r="F25" i="23"/>
  <c r="D26" i="23"/>
  <c r="E26" i="23"/>
  <c r="F26" i="23"/>
  <c r="D27" i="23"/>
  <c r="E27" i="23"/>
  <c r="F27" i="23"/>
  <c r="D28" i="23"/>
  <c r="E28" i="23"/>
  <c r="F28" i="23"/>
  <c r="D29" i="23"/>
  <c r="E29" i="23"/>
  <c r="F29" i="23"/>
  <c r="D30" i="23"/>
  <c r="E30" i="23"/>
  <c r="F30" i="23"/>
  <c r="D31" i="23"/>
  <c r="E31" i="23"/>
  <c r="F31" i="23"/>
  <c r="D32" i="23"/>
  <c r="E32" i="23"/>
  <c r="F32" i="23"/>
  <c r="D33" i="23"/>
  <c r="E33" i="23"/>
  <c r="F33" i="23"/>
  <c r="D34" i="23"/>
  <c r="E34" i="23"/>
  <c r="F34" i="23"/>
  <c r="D35" i="23"/>
  <c r="E35" i="23"/>
  <c r="F35" i="23"/>
  <c r="D36" i="23"/>
  <c r="E36" i="23"/>
  <c r="F36" i="23"/>
  <c r="D37" i="23"/>
  <c r="E37" i="23"/>
  <c r="F37" i="23"/>
  <c r="D38" i="23"/>
  <c r="E38" i="23"/>
  <c r="F38" i="23"/>
  <c r="D39" i="23"/>
  <c r="E39" i="23"/>
  <c r="F39" i="23"/>
  <c r="D40" i="23"/>
  <c r="E40" i="23"/>
  <c r="F40" i="23"/>
  <c r="D41" i="23"/>
  <c r="E41" i="23"/>
  <c r="F41" i="23"/>
  <c r="D42" i="23"/>
  <c r="E42" i="23"/>
  <c r="F42" i="23"/>
  <c r="D43" i="23"/>
  <c r="E43" i="23"/>
  <c r="F43" i="23"/>
  <c r="D44" i="23"/>
  <c r="E44" i="23"/>
  <c r="F44" i="23"/>
  <c r="D45" i="23"/>
  <c r="E45" i="23"/>
  <c r="F45" i="23"/>
  <c r="D46" i="23"/>
  <c r="E46" i="23"/>
  <c r="F46" i="23"/>
  <c r="D47" i="23"/>
  <c r="E47" i="23"/>
  <c r="F47" i="23"/>
  <c r="D48" i="23"/>
  <c r="E48" i="23"/>
  <c r="F48" i="23"/>
  <c r="D49" i="23"/>
  <c r="E49" i="23"/>
  <c r="F49" i="23"/>
  <c r="D50" i="23"/>
  <c r="E50" i="23"/>
  <c r="F50" i="23"/>
  <c r="D51" i="23"/>
  <c r="E51" i="23"/>
  <c r="F51" i="23"/>
  <c r="D52" i="23"/>
  <c r="E52" i="23"/>
  <c r="F52" i="23"/>
  <c r="D53" i="23"/>
  <c r="E53" i="23"/>
  <c r="F53" i="23"/>
  <c r="D55" i="23"/>
  <c r="E55" i="23"/>
  <c r="F55" i="23"/>
  <c r="D56" i="23"/>
  <c r="E56" i="23"/>
  <c r="F56" i="23"/>
  <c r="D59" i="23"/>
  <c r="E59" i="23"/>
  <c r="F59" i="23"/>
  <c r="D60" i="23"/>
  <c r="E60" i="23"/>
  <c r="F60" i="23"/>
  <c r="D61" i="23"/>
  <c r="E61" i="23"/>
  <c r="F61" i="23"/>
  <c r="D62" i="23"/>
  <c r="E62" i="23"/>
  <c r="F62" i="23"/>
  <c r="D63" i="23"/>
  <c r="E63" i="23"/>
  <c r="F63" i="23"/>
  <c r="D64" i="23"/>
  <c r="E64" i="23"/>
  <c r="F64" i="23"/>
  <c r="D74" i="23"/>
  <c r="E74" i="23"/>
  <c r="F74" i="23"/>
  <c r="F116" i="23"/>
  <c r="F54" i="23"/>
  <c r="F67" i="23"/>
  <c r="F68" i="23"/>
  <c r="F69" i="23"/>
  <c r="F70" i="23"/>
  <c r="F72" i="23"/>
  <c r="F73" i="23"/>
  <c r="F75" i="23"/>
  <c r="F76" i="23"/>
  <c r="F77" i="23"/>
  <c r="F117" i="23"/>
  <c r="F118" i="23"/>
  <c r="F119" i="23"/>
  <c r="F120" i="23"/>
  <c r="D85" i="23"/>
  <c r="E85" i="23"/>
  <c r="F85" i="23"/>
  <c r="D86" i="23"/>
  <c r="E86" i="23"/>
  <c r="F86" i="23"/>
  <c r="D87" i="23"/>
  <c r="E87" i="23"/>
  <c r="F87" i="23"/>
  <c r="D88" i="23"/>
  <c r="E88" i="23"/>
  <c r="F88" i="23"/>
  <c r="D89" i="23"/>
  <c r="E89" i="23"/>
  <c r="F89" i="23"/>
  <c r="D90" i="23"/>
  <c r="E90" i="23"/>
  <c r="F90" i="23"/>
  <c r="D93" i="23"/>
  <c r="E93" i="23"/>
  <c r="F93" i="23"/>
  <c r="D96" i="23"/>
  <c r="E96" i="23"/>
  <c r="F96" i="23"/>
  <c r="D97" i="23"/>
  <c r="E97" i="23"/>
  <c r="F97" i="23"/>
  <c r="D99" i="23"/>
  <c r="E99" i="23"/>
  <c r="F99" i="23"/>
  <c r="F135" i="23"/>
  <c r="F136" i="23"/>
  <c r="F137" i="23"/>
  <c r="F138" i="23"/>
  <c r="D104" i="23"/>
  <c r="F104" i="23"/>
  <c r="D105" i="23"/>
  <c r="F105" i="23"/>
  <c r="D106" i="23"/>
  <c r="E106" i="23"/>
  <c r="F106" i="23"/>
  <c r="D107" i="23"/>
  <c r="E107" i="23"/>
  <c r="F107" i="23"/>
  <c r="F141" i="23"/>
  <c r="F142" i="23"/>
  <c r="F143" i="23"/>
  <c r="F144" i="23"/>
  <c r="D17" i="24"/>
  <c r="E17" i="24"/>
  <c r="F17" i="24"/>
  <c r="D18" i="24"/>
  <c r="E18" i="24"/>
  <c r="F18" i="24"/>
  <c r="D19" i="24"/>
  <c r="E19" i="24"/>
  <c r="F19" i="24"/>
  <c r="D20" i="24"/>
  <c r="E20" i="24"/>
  <c r="F20" i="24"/>
  <c r="D21" i="24"/>
  <c r="E21" i="24"/>
  <c r="F21" i="24"/>
  <c r="D22" i="24"/>
  <c r="E22" i="24"/>
  <c r="F22" i="24"/>
  <c r="D23" i="24"/>
  <c r="E23" i="24"/>
  <c r="F23" i="24"/>
  <c r="D24" i="24"/>
  <c r="E24" i="24"/>
  <c r="F24" i="24"/>
  <c r="D25" i="24"/>
  <c r="E25" i="24"/>
  <c r="F25" i="24"/>
  <c r="D26" i="24"/>
  <c r="E26" i="24"/>
  <c r="F26" i="24"/>
  <c r="D27" i="24"/>
  <c r="E27" i="24"/>
  <c r="F27" i="24"/>
  <c r="D28" i="24"/>
  <c r="E28" i="24"/>
  <c r="F28" i="24"/>
  <c r="D29" i="24"/>
  <c r="E29" i="24"/>
  <c r="F29" i="24"/>
  <c r="D30" i="24"/>
  <c r="E30" i="24"/>
  <c r="F30" i="24"/>
  <c r="D31" i="24"/>
  <c r="E31" i="24"/>
  <c r="F31" i="24"/>
  <c r="D32" i="24"/>
  <c r="E32" i="24"/>
  <c r="F32" i="24"/>
  <c r="D33" i="24"/>
  <c r="E33" i="24"/>
  <c r="F33" i="24"/>
  <c r="D34" i="24"/>
  <c r="E34" i="24"/>
  <c r="F34" i="24"/>
  <c r="D35" i="24"/>
  <c r="E35" i="24"/>
  <c r="F35" i="24"/>
  <c r="D36" i="24"/>
  <c r="E36" i="24"/>
  <c r="F36" i="24"/>
  <c r="D37" i="24"/>
  <c r="E37" i="24"/>
  <c r="F37" i="24"/>
  <c r="D38" i="24"/>
  <c r="E38" i="24"/>
  <c r="F38" i="24"/>
  <c r="D39" i="24"/>
  <c r="E39" i="24"/>
  <c r="F39" i="24"/>
  <c r="D40" i="24"/>
  <c r="E40" i="24"/>
  <c r="F40" i="24"/>
  <c r="D41" i="24"/>
  <c r="E41" i="24"/>
  <c r="F41" i="24"/>
  <c r="D42" i="24"/>
  <c r="E42" i="24"/>
  <c r="F42" i="24"/>
  <c r="D43" i="24"/>
  <c r="E43" i="24"/>
  <c r="F43" i="24"/>
  <c r="D44" i="24"/>
  <c r="E44" i="24"/>
  <c r="F44" i="24"/>
  <c r="D45" i="24"/>
  <c r="E45" i="24"/>
  <c r="F45" i="24"/>
  <c r="D46" i="24"/>
  <c r="E46" i="24"/>
  <c r="F46" i="24"/>
  <c r="D47" i="24"/>
  <c r="E47" i="24"/>
  <c r="F47" i="24"/>
  <c r="D49" i="24"/>
  <c r="E49" i="24"/>
  <c r="F49" i="24"/>
  <c r="D50" i="24"/>
  <c r="E50" i="24"/>
  <c r="F50" i="24"/>
  <c r="D53" i="24"/>
  <c r="E53" i="24"/>
  <c r="F53" i="24"/>
  <c r="D54" i="24"/>
  <c r="E54" i="24"/>
  <c r="F54" i="24"/>
  <c r="D55" i="24"/>
  <c r="E55" i="24"/>
  <c r="F55" i="24"/>
  <c r="D56" i="24"/>
  <c r="E56" i="24"/>
  <c r="F56" i="24"/>
  <c r="D57" i="24"/>
  <c r="E57" i="24"/>
  <c r="F57" i="24"/>
  <c r="D58" i="24"/>
  <c r="E58" i="24"/>
  <c r="F58" i="24"/>
  <c r="D68" i="24"/>
  <c r="E68" i="24"/>
  <c r="F68" i="24"/>
  <c r="F110" i="24"/>
  <c r="F48" i="24"/>
  <c r="F61" i="24"/>
  <c r="F62" i="24"/>
  <c r="F63" i="24"/>
  <c r="F64" i="24"/>
  <c r="F66" i="24"/>
  <c r="F67" i="24"/>
  <c r="F69" i="24"/>
  <c r="F70" i="24"/>
  <c r="F71" i="24"/>
  <c r="F111" i="24"/>
  <c r="F112" i="24"/>
  <c r="F113" i="24"/>
  <c r="F114" i="24"/>
  <c r="D79" i="24"/>
  <c r="E79" i="24"/>
  <c r="F79" i="24"/>
  <c r="D80" i="24"/>
  <c r="E80" i="24"/>
  <c r="F80" i="24"/>
  <c r="D81" i="24"/>
  <c r="E81" i="24"/>
  <c r="F81" i="24"/>
  <c r="D82" i="24"/>
  <c r="E82" i="24"/>
  <c r="F82" i="24"/>
  <c r="D83" i="24"/>
  <c r="E83" i="24"/>
  <c r="F83" i="24"/>
  <c r="D84" i="24"/>
  <c r="E84" i="24"/>
  <c r="F84" i="24"/>
  <c r="D87" i="24"/>
  <c r="E87" i="24"/>
  <c r="F87" i="24"/>
  <c r="D90" i="24"/>
  <c r="E90" i="24"/>
  <c r="F90" i="24"/>
  <c r="D91" i="24"/>
  <c r="E91" i="24"/>
  <c r="F91" i="24"/>
  <c r="D93" i="24"/>
  <c r="E93" i="24"/>
  <c r="F93" i="24"/>
  <c r="F129" i="24"/>
  <c r="F130" i="24"/>
  <c r="F131" i="24"/>
  <c r="F132" i="24"/>
  <c r="D98" i="24"/>
  <c r="F98" i="24"/>
  <c r="D99" i="24"/>
  <c r="F99" i="24"/>
  <c r="D100" i="24"/>
  <c r="E100" i="24"/>
  <c r="F100" i="24"/>
  <c r="D101" i="24"/>
  <c r="E101" i="24"/>
  <c r="F101" i="24"/>
  <c r="F135" i="24"/>
  <c r="F136" i="24"/>
  <c r="F137" i="24"/>
  <c r="F138" i="24"/>
  <c r="D17" i="14"/>
  <c r="E17" i="14"/>
  <c r="F17" i="14"/>
  <c r="D18" i="14"/>
  <c r="E18" i="14"/>
  <c r="F18" i="14"/>
  <c r="D19" i="14"/>
  <c r="E19" i="14"/>
  <c r="F19" i="14"/>
  <c r="D20" i="14"/>
  <c r="E20" i="14"/>
  <c r="F20" i="14"/>
  <c r="D21" i="14"/>
  <c r="E21" i="14"/>
  <c r="F21" i="14"/>
  <c r="D22" i="14"/>
  <c r="E22" i="14"/>
  <c r="F22" i="14"/>
  <c r="D23" i="14"/>
  <c r="E23" i="14"/>
  <c r="F23" i="14"/>
  <c r="D24" i="14"/>
  <c r="E24" i="14"/>
  <c r="F24" i="14"/>
  <c r="D25" i="14"/>
  <c r="E25" i="14"/>
  <c r="F25" i="14"/>
  <c r="D26" i="14"/>
  <c r="E26" i="14"/>
  <c r="F26" i="14"/>
  <c r="D27" i="14"/>
  <c r="E27" i="14"/>
  <c r="F27" i="14"/>
  <c r="D28" i="14"/>
  <c r="E28" i="14"/>
  <c r="F28" i="14"/>
  <c r="D29" i="14"/>
  <c r="E29" i="14"/>
  <c r="F29" i="14"/>
  <c r="D30" i="14"/>
  <c r="E30" i="14"/>
  <c r="F30" i="14"/>
  <c r="D31" i="14"/>
  <c r="E31" i="14"/>
  <c r="F31" i="14"/>
  <c r="D32" i="14"/>
  <c r="E32" i="14"/>
  <c r="F32" i="14"/>
  <c r="D33" i="14"/>
  <c r="E33" i="14"/>
  <c r="F33" i="14"/>
  <c r="D34" i="14"/>
  <c r="E34" i="14"/>
  <c r="F34" i="14"/>
  <c r="D35" i="14"/>
  <c r="E35" i="14"/>
  <c r="F35" i="14"/>
  <c r="D36" i="14"/>
  <c r="E36" i="14"/>
  <c r="F36" i="14"/>
  <c r="D37" i="14"/>
  <c r="E37" i="14"/>
  <c r="F37" i="14"/>
  <c r="D38" i="14"/>
  <c r="E38" i="14"/>
  <c r="F38" i="14"/>
  <c r="D39" i="14"/>
  <c r="E39" i="14"/>
  <c r="F39" i="14"/>
  <c r="D40" i="14"/>
  <c r="E40" i="14"/>
  <c r="F40" i="14"/>
  <c r="D41" i="14"/>
  <c r="E41" i="14"/>
  <c r="F41" i="14"/>
  <c r="D42" i="14"/>
  <c r="E42" i="14"/>
  <c r="F42" i="14"/>
  <c r="F43" i="14"/>
  <c r="D44" i="14"/>
  <c r="E44" i="14"/>
  <c r="F44" i="14"/>
  <c r="D45" i="14"/>
  <c r="E45" i="14"/>
  <c r="F45" i="14"/>
  <c r="D48" i="14"/>
  <c r="E48" i="14"/>
  <c r="F48" i="14"/>
  <c r="D49" i="14"/>
  <c r="E49" i="14"/>
  <c r="F49" i="14"/>
  <c r="D50" i="14"/>
  <c r="E50" i="14"/>
  <c r="F50" i="14"/>
  <c r="D51" i="14"/>
  <c r="E51" i="14"/>
  <c r="F51" i="14"/>
  <c r="D52" i="14"/>
  <c r="E52" i="14"/>
  <c r="F52" i="14"/>
  <c r="D53" i="14"/>
  <c r="E53" i="14"/>
  <c r="F53" i="14"/>
  <c r="D62" i="14"/>
  <c r="E62" i="14"/>
  <c r="F62" i="14"/>
  <c r="F107" i="14"/>
  <c r="F55" i="14"/>
  <c r="F56" i="14"/>
  <c r="F57" i="14"/>
  <c r="F58" i="14"/>
  <c r="F60" i="14"/>
  <c r="F61" i="14"/>
  <c r="F63" i="14"/>
  <c r="F64" i="14"/>
  <c r="F65" i="14"/>
  <c r="F108" i="14"/>
  <c r="F109" i="14"/>
  <c r="F110" i="14"/>
  <c r="F111" i="14"/>
  <c r="D72" i="14"/>
  <c r="E72" i="14"/>
  <c r="F72" i="14"/>
  <c r="D73" i="14"/>
  <c r="E73" i="14"/>
  <c r="F73" i="14"/>
  <c r="D74" i="14"/>
  <c r="E74" i="14"/>
  <c r="F74" i="14"/>
  <c r="D75" i="14"/>
  <c r="E75" i="14"/>
  <c r="F75" i="14"/>
  <c r="D76" i="14"/>
  <c r="E76" i="14"/>
  <c r="F76" i="14"/>
  <c r="D77" i="14"/>
  <c r="E77" i="14"/>
  <c r="F77" i="14"/>
  <c r="D78" i="14"/>
  <c r="E78" i="14"/>
  <c r="F78" i="14"/>
  <c r="D79" i="14"/>
  <c r="E79" i="14"/>
  <c r="F79" i="14"/>
  <c r="D80" i="14"/>
  <c r="E80" i="14"/>
  <c r="F80" i="14"/>
  <c r="D81" i="14"/>
  <c r="E81" i="14"/>
  <c r="F81" i="14"/>
  <c r="F126" i="14"/>
  <c r="F127" i="14"/>
  <c r="D17" i="12"/>
  <c r="E17" i="12"/>
  <c r="F17" i="12"/>
  <c r="D18" i="12"/>
  <c r="E18" i="12"/>
  <c r="F18" i="12"/>
  <c r="D19" i="12"/>
  <c r="E19" i="12"/>
  <c r="F19" i="12"/>
  <c r="D20" i="12"/>
  <c r="E20" i="12"/>
  <c r="F20" i="12"/>
  <c r="D21" i="12"/>
  <c r="E21" i="12"/>
  <c r="F21" i="12"/>
  <c r="D22" i="12"/>
  <c r="E22" i="12"/>
  <c r="F22" i="12"/>
  <c r="D23" i="12"/>
  <c r="E23" i="12"/>
  <c r="F23" i="12"/>
  <c r="D24" i="12"/>
  <c r="E24" i="12"/>
  <c r="F24" i="12"/>
  <c r="D25" i="12"/>
  <c r="E25" i="12"/>
  <c r="F25" i="12"/>
  <c r="D26" i="12"/>
  <c r="E26" i="12"/>
  <c r="F26" i="12"/>
  <c r="D27" i="12"/>
  <c r="E27" i="12"/>
  <c r="F27" i="12"/>
  <c r="D28" i="12"/>
  <c r="E28" i="12"/>
  <c r="F28" i="12"/>
  <c r="D29" i="12"/>
  <c r="E29" i="12"/>
  <c r="F29" i="12"/>
  <c r="D30" i="12"/>
  <c r="E30" i="12"/>
  <c r="F30" i="12"/>
  <c r="D31" i="12"/>
  <c r="E31" i="12"/>
  <c r="F31" i="12"/>
  <c r="D32" i="12"/>
  <c r="E32" i="12"/>
  <c r="F32" i="12"/>
  <c r="D33" i="12"/>
  <c r="E33" i="12"/>
  <c r="F33" i="12"/>
  <c r="D34" i="12"/>
  <c r="E34" i="12"/>
  <c r="F34" i="12"/>
  <c r="D35" i="12"/>
  <c r="E35" i="12"/>
  <c r="F35" i="12"/>
  <c r="D36" i="12"/>
  <c r="E36" i="12"/>
  <c r="F36" i="12"/>
  <c r="D37" i="12"/>
  <c r="E37" i="12"/>
  <c r="F37" i="12"/>
  <c r="D38" i="12"/>
  <c r="E38" i="12"/>
  <c r="F38" i="12"/>
  <c r="D39" i="12"/>
  <c r="E39" i="12"/>
  <c r="F39" i="12"/>
  <c r="D40" i="12"/>
  <c r="E40" i="12"/>
  <c r="F40" i="12"/>
  <c r="D41" i="12"/>
  <c r="E41" i="12"/>
  <c r="F41" i="12"/>
  <c r="D42" i="12"/>
  <c r="E42" i="12"/>
  <c r="F42" i="12"/>
  <c r="F43" i="12"/>
  <c r="D44" i="12"/>
  <c r="E44" i="12"/>
  <c r="F44" i="12"/>
  <c r="D45" i="12"/>
  <c r="E45" i="12"/>
  <c r="F45" i="12"/>
  <c r="D48" i="12"/>
  <c r="E48" i="12"/>
  <c r="F48" i="12"/>
  <c r="D49" i="12"/>
  <c r="E49" i="12"/>
  <c r="F49" i="12"/>
  <c r="D50" i="12"/>
  <c r="E50" i="12"/>
  <c r="F50" i="12"/>
  <c r="D51" i="12"/>
  <c r="E51" i="12"/>
  <c r="F51" i="12"/>
  <c r="D59" i="12"/>
  <c r="E59" i="12"/>
  <c r="F59" i="12"/>
  <c r="F104" i="12"/>
  <c r="F53" i="12"/>
  <c r="F54" i="12"/>
  <c r="F55" i="12"/>
  <c r="F57" i="12"/>
  <c r="F58" i="12"/>
  <c r="F60" i="12"/>
  <c r="F61" i="12"/>
  <c r="F62" i="12"/>
  <c r="F105" i="12"/>
  <c r="F106" i="12"/>
  <c r="F107" i="12"/>
  <c r="F108" i="12"/>
  <c r="D69" i="12"/>
  <c r="E69" i="12"/>
  <c r="F69" i="12"/>
  <c r="D70" i="12"/>
  <c r="E70" i="12"/>
  <c r="F70" i="12"/>
  <c r="D71" i="12"/>
  <c r="E71" i="12"/>
  <c r="F71" i="12"/>
  <c r="D72" i="12"/>
  <c r="E72" i="12"/>
  <c r="F72" i="12"/>
  <c r="D73" i="12"/>
  <c r="E73" i="12"/>
  <c r="F73" i="12"/>
  <c r="D74" i="12"/>
  <c r="E74" i="12"/>
  <c r="F74" i="12"/>
  <c r="D75" i="12"/>
  <c r="E75" i="12"/>
  <c r="F75" i="12"/>
  <c r="D76" i="12"/>
  <c r="E76" i="12"/>
  <c r="F76" i="12"/>
  <c r="D77" i="12"/>
  <c r="E77" i="12"/>
  <c r="F77" i="12"/>
  <c r="D78" i="12"/>
  <c r="E78" i="12"/>
  <c r="F78" i="12"/>
  <c r="F123" i="12"/>
  <c r="F124" i="12"/>
  <c r="D17" i="13"/>
  <c r="E17" i="13"/>
  <c r="F17" i="13"/>
  <c r="D18" i="13"/>
  <c r="E18" i="13"/>
  <c r="F18" i="13"/>
  <c r="D19" i="13"/>
  <c r="E19" i="13"/>
  <c r="F19" i="13"/>
  <c r="D20" i="13"/>
  <c r="E20" i="13"/>
  <c r="F20" i="13"/>
  <c r="D21" i="13"/>
  <c r="E21" i="13"/>
  <c r="F21" i="13"/>
  <c r="D22" i="13"/>
  <c r="E22" i="13"/>
  <c r="F22" i="13"/>
  <c r="D23" i="13"/>
  <c r="E23" i="13"/>
  <c r="F23" i="13"/>
  <c r="D24" i="13"/>
  <c r="E24" i="13"/>
  <c r="F24" i="13"/>
  <c r="D25" i="13"/>
  <c r="E25" i="13"/>
  <c r="F25" i="13"/>
  <c r="D26" i="13"/>
  <c r="E26" i="13"/>
  <c r="F26" i="13"/>
  <c r="D27" i="13"/>
  <c r="E27" i="13"/>
  <c r="F27" i="13"/>
  <c r="D28" i="13"/>
  <c r="E28" i="13"/>
  <c r="F28" i="13"/>
  <c r="D29" i="13"/>
  <c r="E29" i="13"/>
  <c r="F29" i="13"/>
  <c r="D30" i="13"/>
  <c r="E30" i="13"/>
  <c r="F30" i="13"/>
  <c r="D31" i="13"/>
  <c r="E31" i="13"/>
  <c r="F31" i="13"/>
  <c r="D32" i="13"/>
  <c r="E32" i="13"/>
  <c r="F32" i="13"/>
  <c r="D33" i="13"/>
  <c r="E33" i="13"/>
  <c r="F33" i="13"/>
  <c r="D34" i="13"/>
  <c r="E34" i="13"/>
  <c r="F34" i="13"/>
  <c r="D35" i="13"/>
  <c r="E35" i="13"/>
  <c r="F35" i="13"/>
  <c r="D36" i="13"/>
  <c r="E36" i="13"/>
  <c r="F36" i="13"/>
  <c r="D37" i="13"/>
  <c r="E37" i="13"/>
  <c r="F37" i="13"/>
  <c r="D38" i="13"/>
  <c r="E38" i="13"/>
  <c r="F38" i="13"/>
  <c r="D39" i="13"/>
  <c r="E39" i="13"/>
  <c r="F39" i="13"/>
  <c r="D40" i="13"/>
  <c r="E40" i="13"/>
  <c r="F40" i="13"/>
  <c r="D41" i="13"/>
  <c r="E41" i="13"/>
  <c r="F41" i="13"/>
  <c r="D42" i="13"/>
  <c r="E42" i="13"/>
  <c r="F42" i="13"/>
  <c r="D43" i="13"/>
  <c r="E43" i="13"/>
  <c r="F43" i="13"/>
  <c r="D44" i="13"/>
  <c r="E44" i="13"/>
  <c r="F44" i="13"/>
  <c r="F45" i="13"/>
  <c r="D46" i="13"/>
  <c r="E46" i="13"/>
  <c r="F46" i="13"/>
  <c r="D47" i="13"/>
  <c r="E47" i="13"/>
  <c r="F47" i="13"/>
  <c r="D50" i="13"/>
  <c r="E50" i="13"/>
  <c r="F50" i="13"/>
  <c r="D51" i="13"/>
  <c r="E51" i="13"/>
  <c r="F51" i="13"/>
  <c r="D52" i="13"/>
  <c r="E52" i="13"/>
  <c r="F52" i="13"/>
  <c r="D53" i="13"/>
  <c r="E53" i="13"/>
  <c r="F53" i="13"/>
  <c r="D54" i="13"/>
  <c r="E54" i="13"/>
  <c r="F54" i="13"/>
  <c r="D62" i="13"/>
  <c r="E62" i="13"/>
  <c r="F62" i="13"/>
  <c r="F85" i="13"/>
  <c r="F56" i="13"/>
  <c r="F57" i="13"/>
  <c r="F58" i="13"/>
  <c r="F60" i="13"/>
  <c r="F61" i="13"/>
  <c r="F63" i="13"/>
  <c r="F64" i="13"/>
  <c r="F86" i="13"/>
  <c r="F87" i="13"/>
  <c r="F88" i="13"/>
  <c r="F89" i="13"/>
  <c r="D73" i="13"/>
  <c r="E73" i="13"/>
  <c r="F73" i="13"/>
  <c r="D74" i="13"/>
  <c r="E74" i="13"/>
  <c r="F74" i="13"/>
  <c r="D75" i="13"/>
  <c r="E75" i="13"/>
  <c r="F75" i="13"/>
  <c r="F104" i="13"/>
  <c r="F105" i="13"/>
  <c r="F106" i="13"/>
  <c r="D17" i="15"/>
  <c r="E17" i="15"/>
  <c r="F17" i="15"/>
  <c r="D18" i="15"/>
  <c r="E18" i="15"/>
  <c r="F18" i="15"/>
  <c r="D19" i="15"/>
  <c r="E19" i="15"/>
  <c r="F19" i="15"/>
  <c r="D20" i="15"/>
  <c r="E20" i="15"/>
  <c r="F20" i="15"/>
  <c r="D21" i="15"/>
  <c r="E21" i="15"/>
  <c r="F21" i="15"/>
  <c r="D22" i="15"/>
  <c r="E22" i="15"/>
  <c r="F22" i="15"/>
  <c r="D23" i="15"/>
  <c r="E23" i="15"/>
  <c r="F23" i="15"/>
  <c r="D24" i="15"/>
  <c r="E24" i="15"/>
  <c r="F24" i="15"/>
  <c r="D25" i="15"/>
  <c r="E25" i="15"/>
  <c r="F25" i="15"/>
  <c r="D26" i="15"/>
  <c r="E26" i="15"/>
  <c r="F26" i="15"/>
  <c r="D27" i="15"/>
  <c r="E27" i="15"/>
  <c r="F27" i="15"/>
  <c r="D28" i="15"/>
  <c r="E28" i="15"/>
  <c r="F28" i="15"/>
  <c r="D29" i="15"/>
  <c r="E29" i="15"/>
  <c r="F29" i="15"/>
  <c r="D30" i="15"/>
  <c r="E30" i="15"/>
  <c r="F30" i="15"/>
  <c r="D31" i="15"/>
  <c r="E31" i="15"/>
  <c r="F31" i="15"/>
  <c r="D32" i="15"/>
  <c r="E32" i="15"/>
  <c r="F32" i="15"/>
  <c r="D33" i="15"/>
  <c r="E33" i="15"/>
  <c r="F33" i="15"/>
  <c r="D34" i="15"/>
  <c r="E34" i="15"/>
  <c r="F34" i="15"/>
  <c r="D35" i="15"/>
  <c r="E35" i="15"/>
  <c r="F35" i="15"/>
  <c r="D36" i="15"/>
  <c r="E36" i="15"/>
  <c r="F36" i="15"/>
  <c r="D37" i="15"/>
  <c r="E37" i="15"/>
  <c r="F37" i="15"/>
  <c r="D38" i="15"/>
  <c r="E38" i="15"/>
  <c r="F38" i="15"/>
  <c r="D39" i="15"/>
  <c r="E39" i="15"/>
  <c r="F39" i="15"/>
  <c r="D40" i="15"/>
  <c r="E40" i="15"/>
  <c r="F40" i="15"/>
  <c r="D41" i="15"/>
  <c r="E41" i="15"/>
  <c r="F41" i="15"/>
  <c r="D42" i="15"/>
  <c r="E42" i="15"/>
  <c r="F42" i="15"/>
  <c r="D43" i="15"/>
  <c r="E43" i="15"/>
  <c r="F43" i="15"/>
  <c r="D44" i="15"/>
  <c r="E44" i="15"/>
  <c r="F44" i="15"/>
  <c r="F45" i="15"/>
  <c r="D46" i="15"/>
  <c r="E46" i="15"/>
  <c r="F46" i="15"/>
  <c r="D47" i="15"/>
  <c r="E47" i="15"/>
  <c r="F47" i="15"/>
  <c r="D50" i="15"/>
  <c r="E50" i="15"/>
  <c r="F50" i="15"/>
  <c r="D51" i="15"/>
  <c r="E51" i="15"/>
  <c r="F51" i="15"/>
  <c r="D52" i="15"/>
  <c r="E52" i="15"/>
  <c r="F52" i="15"/>
  <c r="D53" i="15"/>
  <c r="E53" i="15"/>
  <c r="F53" i="15"/>
  <c r="D54" i="15"/>
  <c r="E54" i="15"/>
  <c r="F54" i="15"/>
  <c r="D55" i="15"/>
  <c r="E55" i="15"/>
  <c r="F55" i="15"/>
  <c r="D57" i="15"/>
  <c r="E57" i="15"/>
  <c r="F57" i="15"/>
  <c r="D64" i="15"/>
  <c r="E64" i="15"/>
  <c r="F64" i="15"/>
  <c r="F100" i="15"/>
  <c r="F58" i="15"/>
  <c r="F59" i="15"/>
  <c r="F60" i="15"/>
  <c r="F62" i="15"/>
  <c r="F63" i="15"/>
  <c r="F65" i="15"/>
  <c r="F66" i="15"/>
  <c r="F67" i="15"/>
  <c r="F101" i="15"/>
  <c r="F102" i="15"/>
  <c r="F103" i="15"/>
  <c r="F104" i="15"/>
  <c r="D83" i="15"/>
  <c r="E83" i="15"/>
  <c r="F83" i="15"/>
  <c r="D84" i="15"/>
  <c r="E84" i="15"/>
  <c r="F84" i="15"/>
  <c r="D85" i="15"/>
  <c r="E85" i="15"/>
  <c r="F85" i="15"/>
  <c r="D86" i="15"/>
  <c r="E86" i="15"/>
  <c r="F86" i="15"/>
  <c r="D87" i="15"/>
  <c r="E87" i="15"/>
  <c r="F87" i="15"/>
  <c r="D88" i="15"/>
  <c r="E88" i="15"/>
  <c r="F88" i="15"/>
  <c r="D89" i="15"/>
  <c r="E89" i="15"/>
  <c r="F89" i="15"/>
  <c r="D90" i="15"/>
  <c r="E90" i="15"/>
  <c r="F90" i="15"/>
  <c r="F123" i="15"/>
  <c r="F124" i="15"/>
  <c r="D75" i="15"/>
  <c r="E75" i="15"/>
  <c r="F75" i="15"/>
  <c r="D76" i="15"/>
  <c r="E76" i="15"/>
  <c r="F76" i="15"/>
  <c r="D77" i="15"/>
  <c r="E77" i="15"/>
  <c r="F77" i="15"/>
  <c r="D78" i="15"/>
  <c r="E78" i="15"/>
  <c r="F78" i="15"/>
  <c r="F119" i="15"/>
  <c r="F120" i="15"/>
  <c r="F125" i="15"/>
  <c r="F126" i="15"/>
  <c r="D17" i="16"/>
  <c r="E17" i="16"/>
  <c r="F17" i="16"/>
  <c r="D18" i="16"/>
  <c r="E18" i="16"/>
  <c r="F18" i="16"/>
  <c r="D19" i="16"/>
  <c r="E19" i="16"/>
  <c r="F19" i="16"/>
  <c r="D20" i="16"/>
  <c r="E20" i="16"/>
  <c r="F20" i="16"/>
  <c r="E21" i="16"/>
  <c r="F21" i="16"/>
  <c r="D22" i="16"/>
  <c r="E22" i="16"/>
  <c r="F22" i="16"/>
  <c r="D23" i="16"/>
  <c r="E23" i="16"/>
  <c r="F23" i="16"/>
  <c r="D24" i="16"/>
  <c r="E24" i="16"/>
  <c r="F24" i="16"/>
  <c r="D25" i="16"/>
  <c r="E25" i="16"/>
  <c r="F25" i="16"/>
  <c r="D26" i="16"/>
  <c r="E26" i="16"/>
  <c r="F26" i="16"/>
  <c r="D27" i="16"/>
  <c r="E27" i="16"/>
  <c r="F27" i="16"/>
  <c r="D28" i="16"/>
  <c r="E28" i="16"/>
  <c r="F28" i="16"/>
  <c r="D29" i="16"/>
  <c r="E29" i="16"/>
  <c r="F29" i="16"/>
  <c r="D30" i="16"/>
  <c r="E30" i="16"/>
  <c r="F30" i="16"/>
  <c r="D31" i="16"/>
  <c r="E31" i="16"/>
  <c r="F31" i="16"/>
  <c r="D32" i="16"/>
  <c r="E32" i="16"/>
  <c r="F32" i="16"/>
  <c r="D33" i="16"/>
  <c r="E33" i="16"/>
  <c r="F33" i="16"/>
  <c r="D34" i="16"/>
  <c r="E34" i="16"/>
  <c r="F34" i="16"/>
  <c r="D35" i="16"/>
  <c r="E35" i="16"/>
  <c r="F35" i="16"/>
  <c r="D36" i="16"/>
  <c r="E36" i="16"/>
  <c r="F36" i="16"/>
  <c r="D37" i="16"/>
  <c r="E37" i="16"/>
  <c r="F37" i="16"/>
  <c r="D38" i="16"/>
  <c r="E38" i="16"/>
  <c r="F38" i="16"/>
  <c r="D39" i="16"/>
  <c r="E39" i="16"/>
  <c r="F39" i="16"/>
  <c r="D40" i="16"/>
  <c r="E40" i="16"/>
  <c r="F40" i="16"/>
  <c r="D41" i="16"/>
  <c r="E41" i="16"/>
  <c r="F41" i="16"/>
  <c r="D42" i="16"/>
  <c r="E42" i="16"/>
  <c r="F42" i="16"/>
  <c r="D43" i="16"/>
  <c r="E43" i="16"/>
  <c r="F43" i="16"/>
  <c r="D44" i="16"/>
  <c r="E44" i="16"/>
  <c r="F44" i="16"/>
  <c r="F45" i="16"/>
  <c r="D46" i="16"/>
  <c r="E46" i="16"/>
  <c r="F46" i="16"/>
  <c r="D47" i="16"/>
  <c r="E47" i="16"/>
  <c r="F47" i="16"/>
  <c r="D50" i="16"/>
  <c r="E50" i="16"/>
  <c r="F50" i="16"/>
  <c r="D51" i="16"/>
  <c r="E51" i="16"/>
  <c r="F51" i="16"/>
  <c r="D52" i="16"/>
  <c r="E52" i="16"/>
  <c r="F52" i="16"/>
  <c r="D53" i="16"/>
  <c r="E53" i="16"/>
  <c r="F53" i="16"/>
  <c r="D61" i="16"/>
  <c r="E61" i="16"/>
  <c r="F61" i="16"/>
  <c r="F82" i="16"/>
  <c r="F55" i="16"/>
  <c r="F56" i="16"/>
  <c r="F57" i="16"/>
  <c r="F59" i="16"/>
  <c r="F60" i="16"/>
  <c r="F62" i="16"/>
  <c r="F63" i="16"/>
  <c r="F64" i="16"/>
  <c r="F83" i="16"/>
  <c r="F84" i="16"/>
  <c r="F85" i="16"/>
  <c r="F86" i="16"/>
  <c r="F87" i="16"/>
  <c r="D71" i="16"/>
  <c r="E71" i="16"/>
  <c r="F71" i="16"/>
  <c r="D72" i="16"/>
  <c r="E72" i="16"/>
  <c r="F72" i="16"/>
  <c r="F104" i="16"/>
  <c r="F105" i="16"/>
  <c r="G85" i="19"/>
  <c r="F79" i="19"/>
  <c r="E79" i="19"/>
  <c r="F85" i="19"/>
  <c r="H85" i="19"/>
  <c r="E85" i="19"/>
  <c r="I85" i="19"/>
  <c r="F66" i="19"/>
  <c r="B74" i="19"/>
  <c r="B73" i="19"/>
  <c r="B72" i="19"/>
  <c r="B71" i="19"/>
  <c r="B70" i="19"/>
  <c r="B69" i="19"/>
  <c r="B68" i="19"/>
  <c r="B67" i="19"/>
  <c r="B66" i="19"/>
  <c r="J149" i="10"/>
  <c r="I149" i="10"/>
  <c r="K149" i="10"/>
  <c r="L149" i="10"/>
  <c r="M149" i="10"/>
  <c r="U68" i="10"/>
  <c r="T68" i="10"/>
  <c r="S68" i="10"/>
  <c r="R68" i="10"/>
  <c r="Q68" i="10"/>
  <c r="U67" i="10"/>
  <c r="T67" i="10"/>
  <c r="S67" i="10"/>
  <c r="R67" i="10"/>
  <c r="Q67" i="10"/>
  <c r="U66" i="10"/>
  <c r="T66" i="10"/>
  <c r="S66" i="10"/>
  <c r="R66" i="10"/>
  <c r="Q66" i="10"/>
  <c r="U65" i="10"/>
  <c r="T65" i="10"/>
  <c r="S65" i="10"/>
  <c r="R65" i="10"/>
  <c r="Q65" i="10"/>
  <c r="U64" i="10"/>
  <c r="T64" i="10"/>
  <c r="S64" i="10"/>
  <c r="R64" i="10"/>
  <c r="Q64" i="10"/>
  <c r="U63" i="10"/>
  <c r="T63" i="10"/>
  <c r="S63" i="10"/>
  <c r="R63" i="10"/>
  <c r="Q63" i="10"/>
  <c r="U62" i="10"/>
  <c r="T62" i="10"/>
  <c r="S62" i="10"/>
  <c r="R62" i="10"/>
  <c r="Q62" i="10"/>
  <c r="N6" i="10"/>
  <c r="O6" i="10"/>
  <c r="P6" i="10"/>
  <c r="Q6" i="10"/>
  <c r="R6" i="10"/>
  <c r="S6" i="10"/>
  <c r="T6" i="10"/>
  <c r="U6" i="10"/>
  <c r="Q41" i="10"/>
  <c r="R41" i="10"/>
  <c r="S41" i="10"/>
  <c r="T41" i="10"/>
  <c r="U41" i="10"/>
  <c r="N41" i="10"/>
  <c r="O41" i="10"/>
  <c r="P41" i="10"/>
  <c r="P68" i="10"/>
  <c r="O68" i="10"/>
  <c r="N68" i="10"/>
  <c r="P67" i="10"/>
  <c r="O67" i="10"/>
  <c r="N67" i="10"/>
  <c r="P66" i="10"/>
  <c r="O66" i="10"/>
  <c r="N66" i="10"/>
  <c r="P65" i="10"/>
  <c r="O65" i="10"/>
  <c r="N65" i="10"/>
  <c r="P64" i="10"/>
  <c r="O64" i="10"/>
  <c r="N64" i="10"/>
  <c r="P63" i="10"/>
  <c r="O63" i="10"/>
  <c r="N63" i="10"/>
  <c r="P62" i="10"/>
  <c r="O62" i="10"/>
  <c r="N62" i="10"/>
  <c r="G75" i="19"/>
  <c r="G83" i="19"/>
  <c r="Y91" i="22"/>
  <c r="Y84" i="15"/>
  <c r="U91" i="10"/>
  <c r="T91" i="10"/>
  <c r="S91" i="10"/>
  <c r="R91" i="10"/>
  <c r="Q91" i="10"/>
  <c r="P91" i="10"/>
  <c r="O91" i="10"/>
  <c r="N91" i="10"/>
  <c r="Y61" i="22"/>
  <c r="Y60" i="22"/>
  <c r="Y53" i="15"/>
  <c r="Y51" i="15"/>
  <c r="U73" i="10"/>
  <c r="T73" i="10"/>
  <c r="S73" i="10"/>
  <c r="R73" i="10"/>
  <c r="Q73" i="10"/>
  <c r="P73" i="10"/>
  <c r="O73" i="10"/>
  <c r="N73" i="10"/>
  <c r="U72" i="10"/>
  <c r="T72" i="10"/>
  <c r="S72" i="10"/>
  <c r="R72" i="10"/>
  <c r="Q72" i="10"/>
  <c r="P72" i="10"/>
  <c r="O72" i="10"/>
  <c r="N72" i="10"/>
  <c r="Y20" i="13"/>
  <c r="F98" i="16"/>
  <c r="F91" i="16"/>
  <c r="X72" i="16"/>
  <c r="W72" i="16"/>
  <c r="V72" i="16"/>
  <c r="U72" i="16"/>
  <c r="T72" i="16"/>
  <c r="S72" i="16"/>
  <c r="R72" i="16"/>
  <c r="Y72" i="16"/>
  <c r="Y19" i="16"/>
  <c r="Y89" i="15"/>
  <c r="Y88" i="15"/>
  <c r="U93" i="10"/>
  <c r="T93" i="10"/>
  <c r="S93" i="10"/>
  <c r="R93" i="10"/>
  <c r="Q93" i="10"/>
  <c r="P93" i="10"/>
  <c r="O93" i="10"/>
  <c r="N93" i="10"/>
  <c r="U11" i="10"/>
  <c r="T11" i="10"/>
  <c r="S11" i="10"/>
  <c r="R11" i="10"/>
  <c r="Q11" i="10"/>
  <c r="P11" i="10"/>
  <c r="O11" i="10"/>
  <c r="N11" i="10"/>
  <c r="Y86" i="15"/>
  <c r="Y90" i="15"/>
  <c r="Y85" i="15"/>
  <c r="Y83" i="15"/>
  <c r="U96" i="10"/>
  <c r="T96" i="10"/>
  <c r="S96" i="10"/>
  <c r="R96" i="10"/>
  <c r="Q96" i="10"/>
  <c r="P96" i="10"/>
  <c r="O96" i="10"/>
  <c r="N96" i="10"/>
  <c r="Y78" i="15"/>
  <c r="Y77" i="15"/>
  <c r="Y75" i="15"/>
  <c r="Y57" i="15"/>
  <c r="Y19" i="15"/>
  <c r="Y21" i="15"/>
  <c r="Y74" i="13"/>
  <c r="Y73" i="13"/>
  <c r="U94" i="10"/>
  <c r="T94" i="10"/>
  <c r="S94" i="10"/>
  <c r="R94" i="10"/>
  <c r="Q94" i="10"/>
  <c r="P94" i="10"/>
  <c r="O94" i="10"/>
  <c r="N94" i="10"/>
  <c r="Y92" i="22"/>
  <c r="Y90" i="22"/>
  <c r="U95" i="10"/>
  <c r="T95" i="10"/>
  <c r="S95" i="10"/>
  <c r="R95" i="10"/>
  <c r="Q95" i="10"/>
  <c r="P95" i="10"/>
  <c r="O95" i="10"/>
  <c r="N95" i="10"/>
  <c r="Y27" i="22"/>
  <c r="Y24" i="22"/>
  <c r="U149" i="10"/>
  <c r="T149" i="10"/>
  <c r="S149" i="10"/>
  <c r="R149" i="10"/>
  <c r="Q149" i="10"/>
  <c r="N149" i="10"/>
  <c r="Y51" i="14"/>
  <c r="U77" i="10"/>
  <c r="T77" i="10"/>
  <c r="S77" i="10"/>
  <c r="R77" i="10"/>
  <c r="Q77" i="10"/>
  <c r="P77" i="10"/>
  <c r="O77" i="10"/>
  <c r="N77" i="10"/>
  <c r="Y52" i="14"/>
  <c r="Y51" i="13"/>
  <c r="Y39" i="13"/>
  <c r="Y58" i="13"/>
  <c r="Y61" i="13"/>
  <c r="Y60" i="15"/>
  <c r="Y63" i="15"/>
  <c r="Y57" i="16"/>
  <c r="Y60" i="16"/>
  <c r="Y57" i="14"/>
  <c r="Y58" i="14"/>
  <c r="Y61" i="14"/>
  <c r="Y58" i="12"/>
  <c r="Y55" i="12"/>
  <c r="U12" i="10"/>
  <c r="T12" i="10"/>
  <c r="S12" i="10"/>
  <c r="R12" i="10"/>
  <c r="Q12" i="10"/>
  <c r="P12" i="10"/>
  <c r="O12" i="10"/>
  <c r="N12" i="10"/>
  <c r="U10" i="10"/>
  <c r="T10" i="10"/>
  <c r="S10" i="10"/>
  <c r="R10" i="10"/>
  <c r="Q10" i="10"/>
  <c r="P10" i="10"/>
  <c r="O10" i="10"/>
  <c r="N10" i="10"/>
  <c r="U9" i="10"/>
  <c r="T9" i="10"/>
  <c r="S9" i="10"/>
  <c r="R9" i="10"/>
  <c r="Q9" i="10"/>
  <c r="P9" i="10"/>
  <c r="O9" i="10"/>
  <c r="N9" i="10"/>
  <c r="U15" i="10"/>
  <c r="T15" i="10"/>
  <c r="S15" i="10"/>
  <c r="R15" i="10"/>
  <c r="Q15" i="10"/>
  <c r="P15" i="10"/>
  <c r="O15" i="10"/>
  <c r="N15" i="10"/>
  <c r="U97" i="10"/>
  <c r="T97" i="10"/>
  <c r="S97" i="10"/>
  <c r="R97" i="10"/>
  <c r="Q97" i="10"/>
  <c r="P97" i="10"/>
  <c r="O97" i="10"/>
  <c r="N97" i="10"/>
  <c r="U98" i="10"/>
  <c r="T98" i="10"/>
  <c r="S98" i="10"/>
  <c r="R98" i="10"/>
  <c r="Q98" i="10"/>
  <c r="P98" i="10"/>
  <c r="O98" i="10"/>
  <c r="N98" i="10"/>
  <c r="I7" i="10"/>
  <c r="I19" i="10"/>
  <c r="I20" i="10"/>
  <c r="I21" i="10"/>
  <c r="I22" i="10"/>
  <c r="I23" i="10"/>
  <c r="I28" i="10"/>
  <c r="I29" i="10"/>
  <c r="I30" i="10"/>
  <c r="I31" i="10"/>
  <c r="I34" i="10"/>
  <c r="I35" i="10"/>
  <c r="I33" i="10"/>
  <c r="I36" i="10"/>
  <c r="I49" i="10"/>
  <c r="I38" i="10"/>
  <c r="I39" i="10"/>
  <c r="I42" i="10"/>
  <c r="I44" i="10"/>
  <c r="I48" i="10"/>
  <c r="I25" i="10"/>
  <c r="I103" i="10"/>
  <c r="I105" i="10"/>
  <c r="I107" i="10"/>
  <c r="I113" i="10"/>
  <c r="I50" i="10"/>
  <c r="I137" i="10"/>
  <c r="K137" i="10"/>
  <c r="L137" i="10"/>
  <c r="M137" i="10"/>
  <c r="I8" i="10"/>
  <c r="G19" i="21"/>
  <c r="K19" i="21"/>
  <c r="I43" i="10"/>
  <c r="I26" i="10"/>
  <c r="I51" i="10"/>
  <c r="G50" i="24"/>
  <c r="I106" i="10"/>
  <c r="I124" i="10"/>
  <c r="I125" i="10"/>
  <c r="I126" i="10"/>
  <c r="I127" i="10"/>
  <c r="I128" i="10"/>
  <c r="G75" i="21"/>
  <c r="K75" i="21"/>
  <c r="I129" i="10"/>
  <c r="K120" i="10"/>
  <c r="K124" i="10"/>
  <c r="K125" i="10"/>
  <c r="K126" i="10"/>
  <c r="K127" i="10"/>
  <c r="K128" i="10"/>
  <c r="K129" i="10"/>
  <c r="L120" i="10"/>
  <c r="L124" i="10"/>
  <c r="L125" i="10"/>
  <c r="L126" i="10"/>
  <c r="N73" i="21"/>
  <c r="L127" i="10"/>
  <c r="L128" i="10"/>
  <c r="L129" i="10"/>
  <c r="M120" i="10"/>
  <c r="M124" i="10"/>
  <c r="M125" i="10"/>
  <c r="M126" i="10"/>
  <c r="M127" i="10"/>
  <c r="M128" i="10"/>
  <c r="M129" i="10"/>
  <c r="B14" i="20"/>
  <c r="B13" i="20"/>
  <c r="B12" i="20"/>
  <c r="B11" i="20"/>
  <c r="B10" i="20"/>
  <c r="B9" i="20"/>
  <c r="B8" i="20"/>
  <c r="B7" i="20"/>
  <c r="B6" i="20"/>
  <c r="Y25" i="22"/>
  <c r="L24" i="25"/>
  <c r="Y24" i="25"/>
  <c r="B61" i="19"/>
  <c r="B60" i="19"/>
  <c r="B59" i="19"/>
  <c r="B58" i="19"/>
  <c r="B57" i="19"/>
  <c r="B56" i="19"/>
  <c r="B55" i="19"/>
  <c r="B54" i="19"/>
  <c r="B53" i="19"/>
  <c r="Y24" i="24"/>
  <c r="B49" i="19"/>
  <c r="B48" i="19"/>
  <c r="B47" i="19"/>
  <c r="B46" i="19"/>
  <c r="B45" i="19"/>
  <c r="B44" i="19"/>
  <c r="B43" i="19"/>
  <c r="B42" i="19"/>
  <c r="B41" i="19"/>
  <c r="B37" i="19"/>
  <c r="B36" i="19"/>
  <c r="B35" i="19"/>
  <c r="B34" i="19"/>
  <c r="B33" i="19"/>
  <c r="B32" i="19"/>
  <c r="B31" i="19"/>
  <c r="B30" i="19"/>
  <c r="B29" i="19"/>
  <c r="B25" i="19"/>
  <c r="B24" i="19"/>
  <c r="B23" i="19"/>
  <c r="B22" i="19"/>
  <c r="B21" i="19"/>
  <c r="B20" i="19"/>
  <c r="B19" i="19"/>
  <c r="B18" i="19"/>
  <c r="B17" i="19"/>
  <c r="B8" i="19"/>
  <c r="B7" i="19"/>
  <c r="B6" i="19"/>
  <c r="B5" i="19"/>
  <c r="B13" i="19"/>
  <c r="B12" i="19"/>
  <c r="B11" i="19"/>
  <c r="B10" i="19"/>
  <c r="B9" i="19"/>
  <c r="Y45" i="23"/>
  <c r="Y39" i="23"/>
  <c r="Y38" i="23"/>
  <c r="Y37" i="23"/>
  <c r="Y26" i="23"/>
  <c r="Y22" i="23"/>
  <c r="Y21" i="23"/>
  <c r="N14" i="20"/>
  <c r="N13" i="20"/>
  <c r="N12" i="20"/>
  <c r="N11" i="20"/>
  <c r="N10" i="20"/>
  <c r="N9" i="20"/>
  <c r="N7" i="20"/>
  <c r="N6" i="20"/>
  <c r="N8" i="20"/>
  <c r="B3" i="16"/>
  <c r="B2" i="16"/>
  <c r="B2" i="15"/>
  <c r="B3" i="15"/>
  <c r="B3" i="13"/>
  <c r="B2" i="13"/>
  <c r="B2" i="12"/>
  <c r="B3" i="24"/>
  <c r="B2" i="24"/>
  <c r="B2" i="23"/>
  <c r="B3" i="23"/>
  <c r="B3" i="22"/>
  <c r="B2" i="22"/>
  <c r="B2" i="25"/>
  <c r="B3" i="25"/>
  <c r="B2" i="14"/>
  <c r="C49" i="19"/>
  <c r="C48" i="19"/>
  <c r="C47" i="19"/>
  <c r="C46" i="19"/>
  <c r="C45" i="19"/>
  <c r="C44" i="19"/>
  <c r="C43" i="19"/>
  <c r="C42" i="19"/>
  <c r="C41" i="19"/>
  <c r="C37" i="19"/>
  <c r="C36" i="19"/>
  <c r="C35" i="19"/>
  <c r="C34" i="19"/>
  <c r="C33" i="19"/>
  <c r="C32" i="19"/>
  <c r="C31" i="19"/>
  <c r="C30" i="19"/>
  <c r="C29" i="19"/>
  <c r="C25" i="19"/>
  <c r="C24" i="19"/>
  <c r="C23" i="19"/>
  <c r="C22" i="19"/>
  <c r="C21" i="19"/>
  <c r="C20" i="19"/>
  <c r="C19" i="19"/>
  <c r="C18" i="19"/>
  <c r="C17" i="19"/>
  <c r="C13" i="19"/>
  <c r="C12" i="19"/>
  <c r="C11" i="19"/>
  <c r="C10" i="19"/>
  <c r="C9" i="19"/>
  <c r="C8" i="19"/>
  <c r="C7" i="19"/>
  <c r="C6" i="19"/>
  <c r="C5" i="19"/>
  <c r="F138" i="25"/>
  <c r="F137" i="25"/>
  <c r="F136" i="25"/>
  <c r="F135" i="25"/>
  <c r="F132" i="25"/>
  <c r="F131" i="25"/>
  <c r="F130" i="25"/>
  <c r="F129" i="25"/>
  <c r="F126" i="25"/>
  <c r="F125" i="25"/>
  <c r="F124" i="25"/>
  <c r="F123" i="25"/>
  <c r="F122" i="25"/>
  <c r="O121" i="25"/>
  <c r="K121" i="25"/>
  <c r="F120" i="25"/>
  <c r="F119" i="25"/>
  <c r="F118" i="25"/>
  <c r="F117" i="25"/>
  <c r="F116" i="25"/>
  <c r="F114" i="25"/>
  <c r="F113" i="25"/>
  <c r="F112" i="25"/>
  <c r="F111" i="25"/>
  <c r="F110" i="25"/>
  <c r="Y101" i="25"/>
  <c r="Y100" i="25"/>
  <c r="Y99" i="25"/>
  <c r="AG98" i="25"/>
  <c r="AH98" i="25"/>
  <c r="X98" i="25"/>
  <c r="W98" i="25"/>
  <c r="V98" i="25"/>
  <c r="U98" i="25"/>
  <c r="Y98" i="25"/>
  <c r="T98" i="25"/>
  <c r="S98" i="25"/>
  <c r="R98" i="25"/>
  <c r="M94" i="25"/>
  <c r="Y93" i="25"/>
  <c r="Y91" i="25"/>
  <c r="W90" i="25"/>
  <c r="Y90" i="25"/>
  <c r="Y88" i="25"/>
  <c r="Y87" i="25"/>
  <c r="W85" i="25"/>
  <c r="Y85" i="25"/>
  <c r="Y84" i="25"/>
  <c r="Y83" i="25"/>
  <c r="Y82" i="25"/>
  <c r="Y81" i="25"/>
  <c r="Y80" i="25"/>
  <c r="Y79" i="25"/>
  <c r="M73" i="25"/>
  <c r="Y71" i="25"/>
  <c r="F71" i="25"/>
  <c r="K70" i="25"/>
  <c r="F70" i="25"/>
  <c r="Y69" i="25"/>
  <c r="K69" i="25"/>
  <c r="F69" i="25"/>
  <c r="Y68" i="25"/>
  <c r="Y67" i="25"/>
  <c r="K67" i="25"/>
  <c r="F67" i="25"/>
  <c r="Y66" i="25"/>
  <c r="K66" i="25"/>
  <c r="F66" i="25"/>
  <c r="Y64" i="25"/>
  <c r="K64" i="25"/>
  <c r="F64" i="25"/>
  <c r="Y63" i="25"/>
  <c r="K63" i="25"/>
  <c r="F63" i="25"/>
  <c r="Y62" i="25"/>
  <c r="K62" i="25"/>
  <c r="F62" i="25"/>
  <c r="Y61" i="25"/>
  <c r="K61" i="25"/>
  <c r="F61" i="25"/>
  <c r="Y60" i="25"/>
  <c r="Y59" i="25"/>
  <c r="K59" i="25"/>
  <c r="Y58" i="25"/>
  <c r="Y57" i="25"/>
  <c r="Y56" i="25"/>
  <c r="Y55" i="25"/>
  <c r="Y54" i="25"/>
  <c r="Y53" i="25"/>
  <c r="Y50" i="25"/>
  <c r="Y49" i="25"/>
  <c r="Y48" i="25"/>
  <c r="K48" i="25"/>
  <c r="F48" i="25"/>
  <c r="Y47" i="25"/>
  <c r="Y46" i="25"/>
  <c r="K46" i="25"/>
  <c r="Y45" i="25"/>
  <c r="Y44" i="25"/>
  <c r="Y43" i="25"/>
  <c r="Y42" i="25"/>
  <c r="Y41" i="25"/>
  <c r="Y40" i="25"/>
  <c r="Y39" i="25"/>
  <c r="Y38" i="25"/>
  <c r="Y37" i="25"/>
  <c r="Y36" i="25"/>
  <c r="Y35" i="25"/>
  <c r="Y34" i="25"/>
  <c r="Y33" i="25"/>
  <c r="Y32" i="25"/>
  <c r="Y31" i="25"/>
  <c r="Y30" i="25"/>
  <c r="Y29" i="25"/>
  <c r="Y28" i="25"/>
  <c r="Y27" i="25"/>
  <c r="Y26" i="25"/>
  <c r="Y25" i="25"/>
  <c r="Y23" i="25"/>
  <c r="Y22" i="25"/>
  <c r="Y21" i="25"/>
  <c r="Y20" i="25"/>
  <c r="Y19" i="25"/>
  <c r="Y18" i="25"/>
  <c r="Y17" i="25"/>
  <c r="Y13" i="25"/>
  <c r="Y12" i="25"/>
  <c r="Y11" i="25"/>
  <c r="Y10" i="25"/>
  <c r="X5" i="25"/>
  <c r="W5" i="25"/>
  <c r="V5" i="25"/>
  <c r="U5" i="25"/>
  <c r="T5" i="25"/>
  <c r="S5" i="25"/>
  <c r="R5" i="25"/>
  <c r="L70" i="25"/>
  <c r="L101" i="25"/>
  <c r="L10" i="25"/>
  <c r="P10" i="25"/>
  <c r="L27" i="25"/>
  <c r="L80" i="25"/>
  <c r="L88" i="25"/>
  <c r="L13" i="25"/>
  <c r="P13" i="25"/>
  <c r="L30" i="25"/>
  <c r="L40" i="25"/>
  <c r="L45" i="25"/>
  <c r="L50" i="25"/>
  <c r="L60" i="25"/>
  <c r="L62" i="25"/>
  <c r="P62" i="25"/>
  <c r="L7" i="25"/>
  <c r="L12" i="25"/>
  <c r="P12" i="25"/>
  <c r="L20" i="25"/>
  <c r="L25" i="25"/>
  <c r="L29" i="25"/>
  <c r="L33" i="25"/>
  <c r="L58" i="25"/>
  <c r="L18" i="25"/>
  <c r="L22" i="25"/>
  <c r="L31" i="25"/>
  <c r="L54" i="25"/>
  <c r="L61" i="25"/>
  <c r="P61" i="25"/>
  <c r="L87" i="25"/>
  <c r="L17" i="25"/>
  <c r="L21" i="25"/>
  <c r="L26" i="25"/>
  <c r="L37" i="25"/>
  <c r="L99" i="25"/>
  <c r="L98" i="25"/>
  <c r="L93" i="25"/>
  <c r="L85" i="25"/>
  <c r="L84" i="25"/>
  <c r="L83" i="25"/>
  <c r="L64" i="25"/>
  <c r="P64" i="25"/>
  <c r="L59" i="25"/>
  <c r="L55" i="25"/>
  <c r="L82" i="25"/>
  <c r="L69" i="25"/>
  <c r="P69" i="25"/>
  <c r="L68" i="25"/>
  <c r="L67" i="25"/>
  <c r="P67" i="25"/>
  <c r="L56" i="25"/>
  <c r="L53" i="25"/>
  <c r="L42" i="25"/>
  <c r="L38" i="25"/>
  <c r="L34" i="25"/>
  <c r="L91" i="25"/>
  <c r="L71" i="25"/>
  <c r="P71" i="25"/>
  <c r="L66" i="25"/>
  <c r="P66" i="25"/>
  <c r="L63" i="25"/>
  <c r="P63" i="25"/>
  <c r="L57" i="25"/>
  <c r="L49" i="25"/>
  <c r="L48" i="25"/>
  <c r="L47" i="25"/>
  <c r="L46" i="25"/>
  <c r="L43" i="25"/>
  <c r="L39" i="25"/>
  <c r="L35" i="25"/>
  <c r="L11" i="25"/>
  <c r="P11" i="25"/>
  <c r="L19" i="25"/>
  <c r="L23" i="25"/>
  <c r="L28" i="25"/>
  <c r="L32" i="25"/>
  <c r="L36" i="25"/>
  <c r="L41" i="25"/>
  <c r="L44" i="25"/>
  <c r="L79" i="25"/>
  <c r="L94" i="25"/>
  <c r="L104" i="25"/>
  <c r="L81" i="25"/>
  <c r="L90" i="25"/>
  <c r="L100" i="25"/>
  <c r="P70" i="25"/>
  <c r="P7" i="25"/>
  <c r="L102" i="25"/>
  <c r="P113" i="10"/>
  <c r="O113" i="10"/>
  <c r="N113" i="10"/>
  <c r="P112" i="10"/>
  <c r="O112" i="10"/>
  <c r="N112" i="10"/>
  <c r="P111" i="10"/>
  <c r="O111" i="10"/>
  <c r="N111" i="10"/>
  <c r="P110" i="10"/>
  <c r="O110" i="10"/>
  <c r="N110" i="10"/>
  <c r="P109" i="10"/>
  <c r="O109" i="10"/>
  <c r="N109" i="10"/>
  <c r="P108" i="10"/>
  <c r="O108" i="10"/>
  <c r="N108" i="10"/>
  <c r="P107" i="10"/>
  <c r="O107" i="10"/>
  <c r="N107" i="10"/>
  <c r="P106" i="10"/>
  <c r="O106" i="10"/>
  <c r="N106" i="10"/>
  <c r="P105" i="10"/>
  <c r="O105" i="10"/>
  <c r="N105" i="10"/>
  <c r="P104" i="10"/>
  <c r="O104" i="10"/>
  <c r="N104" i="10"/>
  <c r="P103" i="10"/>
  <c r="O103" i="10"/>
  <c r="N103" i="10"/>
  <c r="P45" i="10"/>
  <c r="O45" i="10"/>
  <c r="N45" i="10"/>
  <c r="P44" i="10"/>
  <c r="O44" i="10"/>
  <c r="N44" i="10"/>
  <c r="P43" i="10"/>
  <c r="O43" i="10"/>
  <c r="N43" i="10"/>
  <c r="P42" i="10"/>
  <c r="O42" i="10"/>
  <c r="N42" i="10"/>
  <c r="P40" i="10"/>
  <c r="O40" i="10"/>
  <c r="N40" i="10"/>
  <c r="P39" i="10"/>
  <c r="O39" i="10"/>
  <c r="N39" i="10"/>
  <c r="P38" i="10"/>
  <c r="O38" i="10"/>
  <c r="N38" i="10"/>
  <c r="P37" i="10"/>
  <c r="O37" i="10"/>
  <c r="N37" i="10"/>
  <c r="P36" i="10"/>
  <c r="O36" i="10"/>
  <c r="N36" i="10"/>
  <c r="P35" i="10"/>
  <c r="O35" i="10"/>
  <c r="N35" i="10"/>
  <c r="P34" i="10"/>
  <c r="O34" i="10"/>
  <c r="N34" i="10"/>
  <c r="P33" i="10"/>
  <c r="O33" i="10"/>
  <c r="N33" i="10"/>
  <c r="P32" i="10"/>
  <c r="O32" i="10"/>
  <c r="N32" i="10"/>
  <c r="P31" i="10"/>
  <c r="O31" i="10"/>
  <c r="N31" i="10"/>
  <c r="P30" i="10"/>
  <c r="O30" i="10"/>
  <c r="N30" i="10"/>
  <c r="P29" i="10"/>
  <c r="O29" i="10"/>
  <c r="N29" i="10"/>
  <c r="P28" i="10"/>
  <c r="O28" i="10"/>
  <c r="N28" i="10"/>
  <c r="P27" i="10"/>
  <c r="O27" i="10"/>
  <c r="N27" i="10"/>
  <c r="P26" i="10"/>
  <c r="O26" i="10"/>
  <c r="N26" i="10"/>
  <c r="P25" i="10"/>
  <c r="O25" i="10"/>
  <c r="N25" i="10"/>
  <c r="P24" i="10"/>
  <c r="O24" i="10"/>
  <c r="N24" i="10"/>
  <c r="P23" i="10"/>
  <c r="O23" i="10"/>
  <c r="N23" i="10"/>
  <c r="P22" i="10"/>
  <c r="O22" i="10"/>
  <c r="N22" i="10"/>
  <c r="P21" i="10"/>
  <c r="O21" i="10"/>
  <c r="N21" i="10"/>
  <c r="P20" i="10"/>
  <c r="O20" i="10"/>
  <c r="N20" i="10"/>
  <c r="P19" i="10"/>
  <c r="O19" i="10"/>
  <c r="N19" i="10"/>
  <c r="P18" i="10"/>
  <c r="O18" i="10"/>
  <c r="N18" i="10"/>
  <c r="P17" i="10"/>
  <c r="O17" i="10"/>
  <c r="N17" i="10"/>
  <c r="P16" i="10"/>
  <c r="O16" i="10"/>
  <c r="N16" i="10"/>
  <c r="P14" i="10"/>
  <c r="O14" i="10"/>
  <c r="N14" i="10"/>
  <c r="P13" i="10"/>
  <c r="O13" i="10"/>
  <c r="N13" i="10"/>
  <c r="P8" i="10"/>
  <c r="O8" i="10"/>
  <c r="N8" i="10"/>
  <c r="P7" i="10"/>
  <c r="O7" i="10"/>
  <c r="N7" i="10"/>
  <c r="P52" i="10"/>
  <c r="O52" i="10"/>
  <c r="N52" i="10"/>
  <c r="P51" i="10"/>
  <c r="O51" i="10"/>
  <c r="N51" i="10"/>
  <c r="P50" i="10"/>
  <c r="O50" i="10"/>
  <c r="N50" i="10"/>
  <c r="P49" i="10"/>
  <c r="O49" i="10"/>
  <c r="N49" i="10"/>
  <c r="P48" i="10"/>
  <c r="O48" i="10"/>
  <c r="N48" i="10"/>
  <c r="P92" i="10"/>
  <c r="P90" i="10"/>
  <c r="P89" i="10"/>
  <c r="P88" i="10"/>
  <c r="P87" i="10"/>
  <c r="P86" i="10"/>
  <c r="P85" i="10"/>
  <c r="P84" i="10"/>
  <c r="P83" i="10"/>
  <c r="P82" i="10"/>
  <c r="P81" i="10"/>
  <c r="P80" i="10"/>
  <c r="P79" i="10"/>
  <c r="P78" i="10"/>
  <c r="P76" i="10"/>
  <c r="P75" i="10"/>
  <c r="P74" i="10"/>
  <c r="P71" i="10"/>
  <c r="P70" i="10"/>
  <c r="P69" i="10"/>
  <c r="P61" i="10"/>
  <c r="P60" i="10"/>
  <c r="P59" i="10"/>
  <c r="P58" i="10"/>
  <c r="P99" i="10"/>
  <c r="O90" i="10"/>
  <c r="O89" i="10"/>
  <c r="O88" i="10"/>
  <c r="O87" i="10"/>
  <c r="O86" i="10"/>
  <c r="O85" i="10"/>
  <c r="O84" i="10"/>
  <c r="O83" i="10"/>
  <c r="O80" i="10"/>
  <c r="O76" i="10"/>
  <c r="O75" i="10"/>
  <c r="O74" i="10"/>
  <c r="O71" i="10"/>
  <c r="O70" i="10"/>
  <c r="O69" i="10"/>
  <c r="O61" i="10"/>
  <c r="O60" i="10"/>
  <c r="O59" i="10"/>
  <c r="O58" i="10"/>
  <c r="O99" i="10"/>
  <c r="N92" i="10"/>
  <c r="N90" i="10"/>
  <c r="N89" i="10"/>
  <c r="N88" i="10"/>
  <c r="N87" i="10"/>
  <c r="N86" i="10"/>
  <c r="N85" i="10"/>
  <c r="N84" i="10"/>
  <c r="N83" i="10"/>
  <c r="N82" i="10"/>
  <c r="N81" i="10"/>
  <c r="N80" i="10"/>
  <c r="N79" i="10"/>
  <c r="N78" i="10"/>
  <c r="N76" i="10"/>
  <c r="N75" i="10"/>
  <c r="N74" i="10"/>
  <c r="N71" i="10"/>
  <c r="N70" i="10"/>
  <c r="N69" i="10"/>
  <c r="N61" i="10"/>
  <c r="N60" i="10"/>
  <c r="N59" i="10"/>
  <c r="N58" i="10"/>
  <c r="N99" i="10"/>
  <c r="U99" i="10"/>
  <c r="T99" i="10"/>
  <c r="S99" i="10"/>
  <c r="R99" i="10"/>
  <c r="Q99" i="10"/>
  <c r="U92" i="10"/>
  <c r="T92" i="10"/>
  <c r="S92" i="10"/>
  <c r="R92" i="10"/>
  <c r="Q92" i="10"/>
  <c r="U90" i="10"/>
  <c r="T90" i="10"/>
  <c r="S90" i="10"/>
  <c r="R90" i="10"/>
  <c r="Q90" i="10"/>
  <c r="U89" i="10"/>
  <c r="T89" i="10"/>
  <c r="S89" i="10"/>
  <c r="R89" i="10"/>
  <c r="Q89" i="10"/>
  <c r="U88" i="10"/>
  <c r="T88" i="10"/>
  <c r="S88" i="10"/>
  <c r="R88" i="10"/>
  <c r="Q88" i="10"/>
  <c r="U87" i="10"/>
  <c r="T87" i="10"/>
  <c r="S87" i="10"/>
  <c r="R87" i="10"/>
  <c r="Q87" i="10"/>
  <c r="U86" i="10"/>
  <c r="T86" i="10"/>
  <c r="S86" i="10"/>
  <c r="R86" i="10"/>
  <c r="Q86" i="10"/>
  <c r="U85" i="10"/>
  <c r="T85" i="10"/>
  <c r="S85" i="10"/>
  <c r="R85" i="10"/>
  <c r="Q85" i="10"/>
  <c r="U84" i="10"/>
  <c r="T84" i="10"/>
  <c r="S84" i="10"/>
  <c r="R84" i="10"/>
  <c r="Q84" i="10"/>
  <c r="U83" i="10"/>
  <c r="T83" i="10"/>
  <c r="S83" i="10"/>
  <c r="R83" i="10"/>
  <c r="Q83" i="10"/>
  <c r="U82" i="10"/>
  <c r="T82" i="10"/>
  <c r="S82" i="10"/>
  <c r="R82" i="10"/>
  <c r="Q82" i="10"/>
  <c r="U81" i="10"/>
  <c r="T81" i="10"/>
  <c r="S81" i="10"/>
  <c r="R81" i="10"/>
  <c r="Q81" i="10"/>
  <c r="U80" i="10"/>
  <c r="T80" i="10"/>
  <c r="S80" i="10"/>
  <c r="R80" i="10"/>
  <c r="Q80" i="10"/>
  <c r="U79" i="10"/>
  <c r="T79" i="10"/>
  <c r="S79" i="10"/>
  <c r="R79" i="10"/>
  <c r="Q79" i="10"/>
  <c r="U78" i="10"/>
  <c r="T78" i="10"/>
  <c r="S78" i="10"/>
  <c r="R78" i="10"/>
  <c r="Q78" i="10"/>
  <c r="U76" i="10"/>
  <c r="T76" i="10"/>
  <c r="S76" i="10"/>
  <c r="R76" i="10"/>
  <c r="Q76" i="10"/>
  <c r="U75" i="10"/>
  <c r="T75" i="10"/>
  <c r="S75" i="10"/>
  <c r="R75" i="10"/>
  <c r="Q75" i="10"/>
  <c r="U74" i="10"/>
  <c r="T74" i="10"/>
  <c r="S74" i="10"/>
  <c r="R74" i="10"/>
  <c r="Q74" i="10"/>
  <c r="U71" i="10"/>
  <c r="T71" i="10"/>
  <c r="S71" i="10"/>
  <c r="R71" i="10"/>
  <c r="Q71" i="10"/>
  <c r="U70" i="10"/>
  <c r="T70" i="10"/>
  <c r="S70" i="10"/>
  <c r="R70" i="10"/>
  <c r="Q70" i="10"/>
  <c r="U69" i="10"/>
  <c r="T69" i="10"/>
  <c r="S69" i="10"/>
  <c r="R69" i="10"/>
  <c r="Q69" i="10"/>
  <c r="U61" i="10"/>
  <c r="T61" i="10"/>
  <c r="S61" i="10"/>
  <c r="R61" i="10"/>
  <c r="Q61" i="10"/>
  <c r="U60" i="10"/>
  <c r="T60" i="10"/>
  <c r="S60" i="10"/>
  <c r="R60" i="10"/>
  <c r="Q60" i="10"/>
  <c r="U59" i="10"/>
  <c r="T59" i="10"/>
  <c r="S59" i="10"/>
  <c r="R59" i="10"/>
  <c r="Q59" i="10"/>
  <c r="U58" i="10"/>
  <c r="T58" i="10"/>
  <c r="S58" i="10"/>
  <c r="R58" i="10"/>
  <c r="Q58" i="10"/>
  <c r="Q13" i="10"/>
  <c r="R13" i="10"/>
  <c r="S13" i="10"/>
  <c r="T13" i="10"/>
  <c r="U13" i="10"/>
  <c r="Y88" i="24"/>
  <c r="Y87" i="24"/>
  <c r="Y93" i="23"/>
  <c r="C23" i="5"/>
  <c r="Y57" i="24"/>
  <c r="Y56" i="24"/>
  <c r="Y19" i="24"/>
  <c r="Y55" i="24"/>
  <c r="Y19" i="23"/>
  <c r="Y57" i="23"/>
  <c r="Y63" i="23"/>
  <c r="Y62" i="23"/>
  <c r="Y61" i="23"/>
  <c r="Y19" i="22"/>
  <c r="Y59" i="22"/>
  <c r="Y58" i="22"/>
  <c r="Y57" i="22"/>
  <c r="Y56" i="22"/>
  <c r="Y55" i="22"/>
  <c r="Y54" i="22"/>
  <c r="Y53" i="22"/>
  <c r="W85" i="24"/>
  <c r="W90" i="24"/>
  <c r="W94" i="23"/>
  <c r="Y94" i="23"/>
  <c r="W91" i="23"/>
  <c r="W96" i="23"/>
  <c r="F126" i="24"/>
  <c r="F125" i="24"/>
  <c r="F124" i="24"/>
  <c r="F123" i="24"/>
  <c r="F122" i="24"/>
  <c r="F120" i="24"/>
  <c r="F119" i="24"/>
  <c r="F118" i="24"/>
  <c r="F117" i="24"/>
  <c r="F116" i="24"/>
  <c r="Y101" i="24"/>
  <c r="Y100" i="24"/>
  <c r="Y99" i="24"/>
  <c r="AG98" i="24"/>
  <c r="AH98" i="24"/>
  <c r="X98" i="24"/>
  <c r="W98" i="24"/>
  <c r="V98" i="24"/>
  <c r="U98" i="24"/>
  <c r="T98" i="24"/>
  <c r="S98" i="24"/>
  <c r="R98" i="24"/>
  <c r="Y93" i="24"/>
  <c r="Y91" i="24"/>
  <c r="Y90" i="24"/>
  <c r="Y85" i="24"/>
  <c r="Y83" i="24"/>
  <c r="Y81" i="24"/>
  <c r="Y84" i="24"/>
  <c r="Y82" i="24"/>
  <c r="Y80" i="24"/>
  <c r="Y79" i="24"/>
  <c r="Y71" i="24"/>
  <c r="Y69" i="24"/>
  <c r="Y68" i="24"/>
  <c r="Y67" i="24"/>
  <c r="Y66" i="24"/>
  <c r="Y64" i="24"/>
  <c r="Y63" i="24"/>
  <c r="Y62" i="24"/>
  <c r="Y61" i="24"/>
  <c r="Y60" i="24"/>
  <c r="Y59" i="24"/>
  <c r="Y58" i="24"/>
  <c r="Y54" i="24"/>
  <c r="Y53" i="24"/>
  <c r="Y50" i="24"/>
  <c r="Y49" i="24"/>
  <c r="Y48" i="24"/>
  <c r="Y47" i="24"/>
  <c r="Y46" i="24"/>
  <c r="Y45" i="24"/>
  <c r="Y44" i="24"/>
  <c r="Y43" i="24"/>
  <c r="Y42" i="24"/>
  <c r="Y41" i="24"/>
  <c r="Y40" i="24"/>
  <c r="Y39" i="24"/>
  <c r="Y38" i="24"/>
  <c r="Y37" i="24"/>
  <c r="Y36" i="24"/>
  <c r="Y35" i="24"/>
  <c r="Y34" i="24"/>
  <c r="Y33" i="24"/>
  <c r="Y32" i="24"/>
  <c r="Y31" i="24"/>
  <c r="Y30" i="24"/>
  <c r="Y29" i="24"/>
  <c r="Y28" i="24"/>
  <c r="Y27" i="24"/>
  <c r="Y26" i="24"/>
  <c r="Y25" i="24"/>
  <c r="Y23" i="24"/>
  <c r="Y22" i="24"/>
  <c r="Y21" i="24"/>
  <c r="Y20" i="24"/>
  <c r="Y18" i="24"/>
  <c r="Y17" i="24"/>
  <c r="Y13" i="24"/>
  <c r="Y12" i="24"/>
  <c r="Y11" i="24"/>
  <c r="Y10" i="24"/>
  <c r="X5" i="24"/>
  <c r="W5" i="24"/>
  <c r="V5" i="24"/>
  <c r="U5" i="24"/>
  <c r="T5" i="24"/>
  <c r="S5" i="24"/>
  <c r="R5" i="24"/>
  <c r="L11" i="24"/>
  <c r="P11" i="24"/>
  <c r="L69" i="24"/>
  <c r="L64" i="24"/>
  <c r="L63" i="24"/>
  <c r="P13" i="24"/>
  <c r="L10" i="24"/>
  <c r="P10" i="24"/>
  <c r="L12" i="24"/>
  <c r="P12" i="24"/>
  <c r="Y98" i="24"/>
  <c r="O92" i="10"/>
  <c r="O79" i="10"/>
  <c r="O82" i="10"/>
  <c r="O81" i="10"/>
  <c r="O78" i="10"/>
  <c r="F132" i="23"/>
  <c r="F131" i="23"/>
  <c r="F130" i="23"/>
  <c r="F129" i="23"/>
  <c r="F128" i="23"/>
  <c r="F126" i="23"/>
  <c r="F125" i="23"/>
  <c r="F124" i="23"/>
  <c r="F123" i="23"/>
  <c r="F122" i="23"/>
  <c r="Y107" i="23"/>
  <c r="Y106" i="23"/>
  <c r="Y105" i="23"/>
  <c r="AG104" i="23"/>
  <c r="AH104" i="23"/>
  <c r="X104" i="23"/>
  <c r="W104" i="23"/>
  <c r="V104" i="23"/>
  <c r="U104" i="23"/>
  <c r="T104" i="23"/>
  <c r="S104" i="23"/>
  <c r="R104" i="23"/>
  <c r="Y99" i="23"/>
  <c r="Y97" i="23"/>
  <c r="Y96" i="23"/>
  <c r="Y91" i="23"/>
  <c r="Y89" i="23"/>
  <c r="Y87" i="23"/>
  <c r="Y90" i="23"/>
  <c r="Y88" i="23"/>
  <c r="Y86" i="23"/>
  <c r="Y85" i="23"/>
  <c r="Y77" i="23"/>
  <c r="Y75" i="23"/>
  <c r="Y74" i="23"/>
  <c r="Y73" i="23"/>
  <c r="Y72" i="23"/>
  <c r="Y71" i="23"/>
  <c r="Y70" i="23"/>
  <c r="Y69" i="23"/>
  <c r="Y68" i="23"/>
  <c r="Y67" i="23"/>
  <c r="Y66" i="23"/>
  <c r="Y65" i="23"/>
  <c r="Y64" i="23"/>
  <c r="Y60" i="23"/>
  <c r="Y59" i="23"/>
  <c r="Y58" i="23"/>
  <c r="Y56" i="23"/>
  <c r="Y55" i="23"/>
  <c r="Y54" i="23"/>
  <c r="Y53" i="23"/>
  <c r="Y52" i="23"/>
  <c r="Y51" i="23"/>
  <c r="Y50" i="23"/>
  <c r="Y49" i="23"/>
  <c r="Y48" i="23"/>
  <c r="Y47" i="23"/>
  <c r="Y46" i="23"/>
  <c r="Y44" i="23"/>
  <c r="Y43" i="23"/>
  <c r="Y42" i="23"/>
  <c r="Y41" i="23"/>
  <c r="Y40" i="23"/>
  <c r="Y36" i="23"/>
  <c r="Y35" i="23"/>
  <c r="Y34" i="23"/>
  <c r="Y33" i="23"/>
  <c r="Y32" i="23"/>
  <c r="Y31" i="23"/>
  <c r="Y30" i="23"/>
  <c r="Y29" i="23"/>
  <c r="Y28" i="23"/>
  <c r="Y27" i="23"/>
  <c r="Y25" i="23"/>
  <c r="Y24" i="23"/>
  <c r="Y23" i="23"/>
  <c r="Y20" i="23"/>
  <c r="Y18" i="23"/>
  <c r="Y17" i="23"/>
  <c r="Y13" i="23"/>
  <c r="Y12" i="23"/>
  <c r="Y11" i="23"/>
  <c r="Y10" i="23"/>
  <c r="X5" i="23"/>
  <c r="W5" i="23"/>
  <c r="V5" i="23"/>
  <c r="U5" i="23"/>
  <c r="T5" i="23"/>
  <c r="S5" i="23"/>
  <c r="R5" i="23"/>
  <c r="Y104" i="23"/>
  <c r="P13" i="23"/>
  <c r="L12" i="23"/>
  <c r="P12" i="23"/>
  <c r="L11" i="23"/>
  <c r="P11" i="23"/>
  <c r="L75" i="23"/>
  <c r="L10" i="23"/>
  <c r="Y94" i="22"/>
  <c r="Y64" i="22"/>
  <c r="Y68" i="22"/>
  <c r="Y67" i="22"/>
  <c r="Y66" i="22"/>
  <c r="Y52" i="22"/>
  <c r="Y71" i="22"/>
  <c r="Y20" i="22"/>
  <c r="Y21" i="22"/>
  <c r="Y22" i="22"/>
  <c r="Y23" i="22"/>
  <c r="F119" i="22"/>
  <c r="F118" i="22"/>
  <c r="F117" i="22"/>
  <c r="F116" i="22"/>
  <c r="F115" i="22"/>
  <c r="F113" i="22"/>
  <c r="F112" i="22"/>
  <c r="F111" i="22"/>
  <c r="F110" i="22"/>
  <c r="F109" i="22"/>
  <c r="Y75" i="22"/>
  <c r="Y73" i="22"/>
  <c r="Y72" i="22"/>
  <c r="Y70" i="22"/>
  <c r="Y69" i="22"/>
  <c r="Y65" i="22"/>
  <c r="Y63" i="22"/>
  <c r="Y62" i="22"/>
  <c r="Y51" i="22"/>
  <c r="Y50" i="22"/>
  <c r="Y49" i="22"/>
  <c r="Y48" i="22"/>
  <c r="Y47" i="22"/>
  <c r="Y46" i="22"/>
  <c r="Y45" i="22"/>
  <c r="Y44" i="22"/>
  <c r="Y43" i="22"/>
  <c r="Y42" i="22"/>
  <c r="Y41" i="22"/>
  <c r="Y40" i="22"/>
  <c r="Y39" i="22"/>
  <c r="Y38" i="22"/>
  <c r="Y37" i="22"/>
  <c r="Y36" i="22"/>
  <c r="Y35" i="22"/>
  <c r="Y34" i="22"/>
  <c r="Y33" i="22"/>
  <c r="Y32" i="22"/>
  <c r="Y31" i="22"/>
  <c r="Y30" i="22"/>
  <c r="Y29" i="22"/>
  <c r="Y28" i="22"/>
  <c r="Y26" i="22"/>
  <c r="Y18" i="22"/>
  <c r="Y17" i="22"/>
  <c r="Y13" i="22"/>
  <c r="Y12" i="22"/>
  <c r="Y11" i="22"/>
  <c r="Y10" i="22"/>
  <c r="Q91" i="22"/>
  <c r="Y85" i="22"/>
  <c r="Y83" i="22"/>
  <c r="F122" i="21"/>
  <c r="F121" i="21"/>
  <c r="F118" i="21"/>
  <c r="F117" i="21"/>
  <c r="F116" i="21"/>
  <c r="F115" i="21"/>
  <c r="F114" i="21"/>
  <c r="F112" i="21"/>
  <c r="F111" i="21"/>
  <c r="F110" i="21"/>
  <c r="F109" i="21"/>
  <c r="F108" i="21"/>
  <c r="F106" i="21"/>
  <c r="F105" i="21"/>
  <c r="F104" i="21"/>
  <c r="F103" i="21"/>
  <c r="F102" i="21"/>
  <c r="AG93" i="21"/>
  <c r="AH93" i="21"/>
  <c r="X93" i="21"/>
  <c r="W93" i="21"/>
  <c r="V93" i="21"/>
  <c r="U93" i="21"/>
  <c r="T93" i="21"/>
  <c r="S93" i="21"/>
  <c r="R93" i="21"/>
  <c r="Y93" i="21"/>
  <c r="E93" i="21"/>
  <c r="D93" i="21"/>
  <c r="AG92" i="21"/>
  <c r="AH92" i="21"/>
  <c r="X92" i="21"/>
  <c r="W92" i="21"/>
  <c r="V92" i="21"/>
  <c r="U92" i="21"/>
  <c r="T92" i="21"/>
  <c r="S92" i="21"/>
  <c r="Y92" i="21"/>
  <c r="R92" i="21"/>
  <c r="O92" i="21"/>
  <c r="N92" i="21"/>
  <c r="M92" i="21"/>
  <c r="G92" i="21"/>
  <c r="K92" i="21"/>
  <c r="E92" i="21"/>
  <c r="D92" i="21"/>
  <c r="AG91" i="21"/>
  <c r="AH91" i="21"/>
  <c r="X91" i="21"/>
  <c r="W91" i="21"/>
  <c r="V91" i="21"/>
  <c r="U91" i="21"/>
  <c r="T91" i="21"/>
  <c r="S91" i="21"/>
  <c r="R91" i="21"/>
  <c r="Y91" i="21"/>
  <c r="O91" i="21"/>
  <c r="N91" i="21"/>
  <c r="M91" i="21"/>
  <c r="G91" i="21"/>
  <c r="K91" i="21"/>
  <c r="E91" i="21"/>
  <c r="D91" i="21"/>
  <c r="AG90" i="21"/>
  <c r="AH90" i="21"/>
  <c r="X90" i="21"/>
  <c r="W90" i="21"/>
  <c r="V90" i="21"/>
  <c r="U90" i="21"/>
  <c r="T90" i="21"/>
  <c r="Y90" i="21"/>
  <c r="S90" i="21"/>
  <c r="R90" i="21"/>
  <c r="O90" i="21"/>
  <c r="N90" i="21"/>
  <c r="M90" i="21"/>
  <c r="G90" i="21"/>
  <c r="K90" i="21"/>
  <c r="E90" i="21"/>
  <c r="D90" i="21"/>
  <c r="AG88" i="21"/>
  <c r="AH88" i="21"/>
  <c r="X88" i="21"/>
  <c r="W88" i="21"/>
  <c r="V88" i="21"/>
  <c r="U88" i="21"/>
  <c r="Y88" i="21"/>
  <c r="T88" i="21"/>
  <c r="S88" i="21"/>
  <c r="R88" i="21"/>
  <c r="E88" i="21"/>
  <c r="D88" i="21"/>
  <c r="AG87" i="21"/>
  <c r="AH87" i="21"/>
  <c r="X87" i="21"/>
  <c r="W87" i="21"/>
  <c r="V87" i="21"/>
  <c r="U87" i="21"/>
  <c r="T87" i="21"/>
  <c r="S87" i="21"/>
  <c r="R87" i="21"/>
  <c r="Y87" i="21"/>
  <c r="E87" i="21"/>
  <c r="D87" i="21"/>
  <c r="AG86" i="21"/>
  <c r="AH86" i="21"/>
  <c r="X86" i="21"/>
  <c r="W86" i="21"/>
  <c r="V86" i="21"/>
  <c r="U86" i="21"/>
  <c r="T86" i="21"/>
  <c r="S86" i="21"/>
  <c r="R86" i="21"/>
  <c r="Y86" i="21"/>
  <c r="E86" i="21"/>
  <c r="D86" i="21"/>
  <c r="AG85" i="21"/>
  <c r="AH85" i="21"/>
  <c r="X85" i="21"/>
  <c r="W85" i="21"/>
  <c r="V85" i="21"/>
  <c r="U85" i="21"/>
  <c r="T85" i="21"/>
  <c r="S85" i="21"/>
  <c r="R85" i="21"/>
  <c r="Y85" i="21"/>
  <c r="E85" i="21"/>
  <c r="D85" i="21"/>
  <c r="Y83" i="21"/>
  <c r="E83" i="21"/>
  <c r="D83" i="21"/>
  <c r="Y82" i="21"/>
  <c r="E82" i="21"/>
  <c r="D82" i="21"/>
  <c r="AG81" i="21"/>
  <c r="AH81" i="21"/>
  <c r="X81" i="21"/>
  <c r="W81" i="21"/>
  <c r="V81" i="21"/>
  <c r="U81" i="21"/>
  <c r="T81" i="21"/>
  <c r="Y81" i="21"/>
  <c r="S81" i="21"/>
  <c r="R81" i="21"/>
  <c r="E81" i="21"/>
  <c r="D81" i="21"/>
  <c r="AG80" i="21"/>
  <c r="AH80" i="21"/>
  <c r="X80" i="21"/>
  <c r="W80" i="21"/>
  <c r="V80" i="21"/>
  <c r="U80" i="21"/>
  <c r="T80" i="21"/>
  <c r="S80" i="21"/>
  <c r="R80" i="21"/>
  <c r="Y80" i="21"/>
  <c r="E80" i="21"/>
  <c r="D80" i="21"/>
  <c r="AG79" i="21"/>
  <c r="AH79" i="21"/>
  <c r="X79" i="21"/>
  <c r="W79" i="21"/>
  <c r="V79" i="21"/>
  <c r="U79" i="21"/>
  <c r="T79" i="21"/>
  <c r="Y79" i="21"/>
  <c r="S79" i="21"/>
  <c r="R79" i="21"/>
  <c r="E79" i="21"/>
  <c r="D79" i="21"/>
  <c r="AG76" i="21"/>
  <c r="AH76" i="21"/>
  <c r="X76" i="21"/>
  <c r="W76" i="21"/>
  <c r="V76" i="21"/>
  <c r="U76" i="21"/>
  <c r="T76" i="21"/>
  <c r="S76" i="21"/>
  <c r="R76" i="21"/>
  <c r="Y76" i="21"/>
  <c r="E76" i="21"/>
  <c r="D76" i="21"/>
  <c r="AG75" i="21"/>
  <c r="AH75" i="21"/>
  <c r="X75" i="21"/>
  <c r="W75" i="21"/>
  <c r="V75" i="21"/>
  <c r="U75" i="21"/>
  <c r="T75" i="21"/>
  <c r="Y75" i="21"/>
  <c r="S75" i="21"/>
  <c r="R75" i="21"/>
  <c r="E75" i="21"/>
  <c r="D75" i="21"/>
  <c r="AG74" i="21"/>
  <c r="AH74" i="21"/>
  <c r="X74" i="21"/>
  <c r="W74" i="21"/>
  <c r="V74" i="21"/>
  <c r="U74" i="21"/>
  <c r="T74" i="21"/>
  <c r="Y74" i="21"/>
  <c r="S74" i="21"/>
  <c r="R74" i="21"/>
  <c r="E74" i="21"/>
  <c r="D74" i="21"/>
  <c r="Y73" i="21"/>
  <c r="E73" i="21"/>
  <c r="D73" i="21"/>
  <c r="AG72" i="21"/>
  <c r="AH72" i="21"/>
  <c r="X72" i="21"/>
  <c r="W72" i="21"/>
  <c r="V72" i="21"/>
  <c r="U72" i="21"/>
  <c r="T72" i="21"/>
  <c r="S72" i="21"/>
  <c r="R72" i="21"/>
  <c r="Y72" i="21"/>
  <c r="E72" i="21"/>
  <c r="D72" i="21"/>
  <c r="AH71" i="21"/>
  <c r="AG71" i="21"/>
  <c r="X71" i="21"/>
  <c r="W71" i="21"/>
  <c r="V71" i="21"/>
  <c r="U71" i="21"/>
  <c r="T71" i="21"/>
  <c r="S71" i="21"/>
  <c r="Y71" i="21"/>
  <c r="R71" i="21"/>
  <c r="E71" i="21"/>
  <c r="D71" i="21"/>
  <c r="AG70" i="21"/>
  <c r="AH70" i="21"/>
  <c r="E70" i="21"/>
  <c r="D70" i="21"/>
  <c r="AG69" i="21"/>
  <c r="AH69" i="21"/>
  <c r="E69" i="21"/>
  <c r="D69" i="21"/>
  <c r="AG68" i="21"/>
  <c r="AH68" i="21"/>
  <c r="E68" i="21"/>
  <c r="D68" i="21"/>
  <c r="AG67" i="21"/>
  <c r="AH67" i="21"/>
  <c r="X67" i="21"/>
  <c r="W67" i="21"/>
  <c r="V67" i="21"/>
  <c r="U67" i="21"/>
  <c r="T67" i="21"/>
  <c r="S67" i="21"/>
  <c r="R67" i="21"/>
  <c r="Y67" i="21"/>
  <c r="Y60" i="21"/>
  <c r="F60" i="21"/>
  <c r="K59" i="21"/>
  <c r="F59" i="21"/>
  <c r="Y58" i="21"/>
  <c r="K58" i="21"/>
  <c r="F58" i="21"/>
  <c r="Y57" i="21"/>
  <c r="E57" i="21"/>
  <c r="D57" i="21"/>
  <c r="Y56" i="21"/>
  <c r="K56" i="21"/>
  <c r="F56" i="21"/>
  <c r="Y55" i="21"/>
  <c r="K54" i="21"/>
  <c r="F54" i="21"/>
  <c r="Y53" i="21"/>
  <c r="K53" i="21"/>
  <c r="F53" i="21"/>
  <c r="Y52" i="21"/>
  <c r="K52" i="21"/>
  <c r="Y51" i="21"/>
  <c r="E51" i="21"/>
  <c r="D51" i="21"/>
  <c r="Y50" i="21"/>
  <c r="E50" i="21"/>
  <c r="D50" i="21"/>
  <c r="Y49" i="21"/>
  <c r="E49" i="21"/>
  <c r="D49" i="21"/>
  <c r="Y48" i="21"/>
  <c r="E48" i="21"/>
  <c r="D48" i="21"/>
  <c r="Y47" i="21"/>
  <c r="G45" i="21"/>
  <c r="E45" i="21"/>
  <c r="D45" i="21"/>
  <c r="Y44" i="21"/>
  <c r="E44" i="21"/>
  <c r="D44" i="21"/>
  <c r="Y43" i="21"/>
  <c r="K43" i="21"/>
  <c r="F43" i="21"/>
  <c r="Y42" i="21"/>
  <c r="E42" i="21"/>
  <c r="D42" i="21"/>
  <c r="Y41" i="21"/>
  <c r="K41" i="21"/>
  <c r="E41" i="21"/>
  <c r="D41" i="21"/>
  <c r="Y40" i="21"/>
  <c r="E40" i="21"/>
  <c r="D40" i="21"/>
  <c r="Y39" i="21"/>
  <c r="E39" i="21"/>
  <c r="D39" i="21"/>
  <c r="Y38" i="21"/>
  <c r="E38" i="21"/>
  <c r="D38" i="21"/>
  <c r="Y37" i="21"/>
  <c r="E37" i="21"/>
  <c r="D37" i="21"/>
  <c r="Y36" i="21"/>
  <c r="E36" i="21"/>
  <c r="D36" i="21"/>
  <c r="Y35" i="21"/>
  <c r="E35" i="21"/>
  <c r="D35" i="21"/>
  <c r="Y34" i="21"/>
  <c r="E34" i="21"/>
  <c r="D34" i="21"/>
  <c r="Y33" i="21"/>
  <c r="E33" i="21"/>
  <c r="D33" i="21"/>
  <c r="Y32" i="21"/>
  <c r="E32" i="21"/>
  <c r="D32" i="21"/>
  <c r="Y31" i="21"/>
  <c r="E31" i="21"/>
  <c r="D31" i="21"/>
  <c r="Y30" i="21"/>
  <c r="E30" i="21"/>
  <c r="D30" i="21"/>
  <c r="Y29" i="21"/>
  <c r="E29" i="21"/>
  <c r="D29" i="21"/>
  <c r="Y28" i="21"/>
  <c r="E28" i="21"/>
  <c r="D28" i="21"/>
  <c r="Y27" i="21"/>
  <c r="E27" i="21"/>
  <c r="D27" i="21"/>
  <c r="Y26" i="21"/>
  <c r="E26" i="21"/>
  <c r="D26" i="21"/>
  <c r="Y25" i="21"/>
  <c r="E25" i="21"/>
  <c r="D25" i="21"/>
  <c r="Y24" i="21"/>
  <c r="E24" i="21"/>
  <c r="D24" i="21"/>
  <c r="Y23" i="21"/>
  <c r="E23" i="21"/>
  <c r="D23" i="21"/>
  <c r="Y22" i="21"/>
  <c r="E22" i="21"/>
  <c r="D22" i="21"/>
  <c r="Y21" i="21"/>
  <c r="E21" i="21"/>
  <c r="D21" i="21"/>
  <c r="Y20" i="21"/>
  <c r="Y19" i="21"/>
  <c r="E19" i="21"/>
  <c r="D19" i="21"/>
  <c r="Y18" i="21"/>
  <c r="E18" i="21"/>
  <c r="E20" i="21"/>
  <c r="D18" i="21"/>
  <c r="Y17" i="21"/>
  <c r="E17" i="21"/>
  <c r="D17" i="21"/>
  <c r="Y13" i="21"/>
  <c r="P13" i="21"/>
  <c r="Y12" i="21"/>
  <c r="P12" i="21"/>
  <c r="Y11" i="21"/>
  <c r="Y10" i="21"/>
  <c r="P10" i="21"/>
  <c r="X5" i="21"/>
  <c r="L22" i="21"/>
  <c r="W5" i="21"/>
  <c r="V5" i="21"/>
  <c r="U5" i="21"/>
  <c r="T5" i="21"/>
  <c r="S5" i="21"/>
  <c r="L24" i="21"/>
  <c r="R5" i="21"/>
  <c r="L19" i="21"/>
  <c r="L31" i="21"/>
  <c r="L18" i="21"/>
  <c r="L83" i="21"/>
  <c r="L59" i="21"/>
  <c r="L51" i="21"/>
  <c r="Q25" i="10"/>
  <c r="R25" i="10"/>
  <c r="S25" i="10"/>
  <c r="T25" i="10"/>
  <c r="U25" i="10"/>
  <c r="I27" i="10"/>
  <c r="I13" i="10"/>
  <c r="F101" i="16"/>
  <c r="F100" i="16"/>
  <c r="F99" i="16"/>
  <c r="F97" i="16"/>
  <c r="F96" i="16"/>
  <c r="F94" i="16"/>
  <c r="F93" i="16"/>
  <c r="F92" i="16"/>
  <c r="F90" i="16"/>
  <c r="F89" i="16"/>
  <c r="Y63" i="16"/>
  <c r="Y61" i="16"/>
  <c r="Y59" i="16"/>
  <c r="Y58" i="16"/>
  <c r="Y56" i="16"/>
  <c r="Y54" i="16"/>
  <c r="Y53" i="16"/>
  <c r="Y52" i="16"/>
  <c r="Y51" i="16"/>
  <c r="Y50" i="16"/>
  <c r="Y49" i="16"/>
  <c r="Y48" i="16"/>
  <c r="Y44" i="16"/>
  <c r="Y43" i="16"/>
  <c r="Y42" i="16"/>
  <c r="Y41" i="16"/>
  <c r="Y40" i="16"/>
  <c r="Y39" i="16"/>
  <c r="Y38" i="16"/>
  <c r="Y37" i="16"/>
  <c r="Y36" i="16"/>
  <c r="Y35" i="16"/>
  <c r="Y34" i="16"/>
  <c r="Y33" i="16"/>
  <c r="Y32" i="16"/>
  <c r="Y31" i="16"/>
  <c r="Y30" i="16"/>
  <c r="Y29" i="16"/>
  <c r="Y28" i="16"/>
  <c r="Y27" i="16"/>
  <c r="Y26" i="16"/>
  <c r="Y25" i="16"/>
  <c r="Y24" i="16"/>
  <c r="Y23" i="16"/>
  <c r="Y22" i="16"/>
  <c r="Y20" i="16"/>
  <c r="Y18" i="16"/>
  <c r="Y17" i="16"/>
  <c r="Y13" i="16"/>
  <c r="P13" i="16"/>
  <c r="Y12" i="16"/>
  <c r="Y11" i="16"/>
  <c r="Y10" i="16"/>
  <c r="F116" i="15"/>
  <c r="F115" i="15"/>
  <c r="F114" i="15"/>
  <c r="F113" i="15"/>
  <c r="F112" i="15"/>
  <c r="F110" i="15"/>
  <c r="F109" i="15"/>
  <c r="F108" i="15"/>
  <c r="F107" i="15"/>
  <c r="F106" i="15"/>
  <c r="Y66" i="15"/>
  <c r="Y64" i="15"/>
  <c r="Y62" i="15"/>
  <c r="Y61" i="15"/>
  <c r="Y59" i="15"/>
  <c r="Y56" i="15"/>
  <c r="Y55" i="15"/>
  <c r="Y54" i="15"/>
  <c r="Y52" i="15"/>
  <c r="Y50" i="15"/>
  <c r="Y49" i="15"/>
  <c r="Y48" i="15"/>
  <c r="Y44" i="15"/>
  <c r="Y43" i="15"/>
  <c r="Y42" i="15"/>
  <c r="Y41" i="15"/>
  <c r="Y40" i="15"/>
  <c r="Y39" i="15"/>
  <c r="Y38" i="15"/>
  <c r="Y37" i="15"/>
  <c r="Y36" i="15"/>
  <c r="Y35" i="15"/>
  <c r="Y34" i="15"/>
  <c r="Y33" i="15"/>
  <c r="Y32" i="15"/>
  <c r="Y31" i="15"/>
  <c r="Y30" i="15"/>
  <c r="Y29" i="15"/>
  <c r="Y28" i="15"/>
  <c r="Y27" i="15"/>
  <c r="Y26" i="15"/>
  <c r="Y25" i="15"/>
  <c r="Y24" i="15"/>
  <c r="Y23" i="15"/>
  <c r="Y22" i="15"/>
  <c r="Y20" i="15"/>
  <c r="Y18" i="15"/>
  <c r="Y17" i="15"/>
  <c r="Y13" i="15"/>
  <c r="P13" i="15"/>
  <c r="Y12" i="15"/>
  <c r="Y11" i="15"/>
  <c r="Y10" i="15"/>
  <c r="T150" i="10"/>
  <c r="F123" i="14"/>
  <c r="F122" i="14"/>
  <c r="F121" i="14"/>
  <c r="F120" i="14"/>
  <c r="F119" i="14"/>
  <c r="F117" i="14"/>
  <c r="F116" i="14"/>
  <c r="F115" i="14"/>
  <c r="F114" i="14"/>
  <c r="F113" i="14"/>
  <c r="AG98" i="14"/>
  <c r="AH98" i="14"/>
  <c r="E98" i="14"/>
  <c r="D98" i="14"/>
  <c r="AG97" i="14"/>
  <c r="AH97" i="14"/>
  <c r="E97" i="14"/>
  <c r="D97" i="14"/>
  <c r="AG96" i="14"/>
  <c r="AH96" i="14"/>
  <c r="E96" i="14"/>
  <c r="D96" i="14"/>
  <c r="AG95" i="14"/>
  <c r="AH95" i="14"/>
  <c r="E95" i="14"/>
  <c r="D95" i="14"/>
  <c r="Y94" i="14"/>
  <c r="AG93" i="14"/>
  <c r="AH93" i="14"/>
  <c r="E93" i="14"/>
  <c r="D93" i="14"/>
  <c r="AG92" i="14"/>
  <c r="AH92" i="14"/>
  <c r="E92" i="14"/>
  <c r="D92" i="14"/>
  <c r="AG91" i="14"/>
  <c r="AH91" i="14"/>
  <c r="E91" i="14"/>
  <c r="D91" i="14"/>
  <c r="AG90" i="14"/>
  <c r="AH90" i="14"/>
  <c r="E90" i="14"/>
  <c r="D90" i="14"/>
  <c r="AG88" i="14"/>
  <c r="AH88" i="14"/>
  <c r="Y88" i="14"/>
  <c r="E88" i="14"/>
  <c r="D88" i="14"/>
  <c r="AG87" i="14"/>
  <c r="AH87" i="14"/>
  <c r="Y87" i="14"/>
  <c r="E87" i="14"/>
  <c r="D87" i="14"/>
  <c r="AG86" i="14"/>
  <c r="AH86" i="14"/>
  <c r="E86" i="14"/>
  <c r="D86" i="14"/>
  <c r="AG85" i="14"/>
  <c r="AH85" i="14"/>
  <c r="E85" i="14"/>
  <c r="D85" i="14"/>
  <c r="AG84" i="14"/>
  <c r="AH84" i="14"/>
  <c r="E84" i="14"/>
  <c r="D84" i="14"/>
  <c r="AG81" i="14"/>
  <c r="AH81" i="14"/>
  <c r="AG80" i="14"/>
  <c r="AH80" i="14"/>
  <c r="AG79" i="14"/>
  <c r="AH79" i="14"/>
  <c r="Y78" i="14"/>
  <c r="AG77" i="14"/>
  <c r="AH77" i="14"/>
  <c r="AG76" i="14"/>
  <c r="AH76" i="14"/>
  <c r="AG75" i="14"/>
  <c r="AH75" i="14"/>
  <c r="AG74" i="14"/>
  <c r="AH74" i="14"/>
  <c r="AG73" i="14"/>
  <c r="AH73" i="14"/>
  <c r="AG72" i="14"/>
  <c r="AH72" i="14"/>
  <c r="Y65" i="14"/>
  <c r="Y64" i="14"/>
  <c r="Y63" i="14"/>
  <c r="Y62" i="14"/>
  <c r="Y60" i="14"/>
  <c r="Y56" i="14"/>
  <c r="Y55" i="14"/>
  <c r="Y54" i="14"/>
  <c r="Y53" i="14"/>
  <c r="Y50" i="14"/>
  <c r="Y49" i="14"/>
  <c r="Y48" i="14"/>
  <c r="Y45" i="14"/>
  <c r="Y44" i="14"/>
  <c r="Y43" i="14"/>
  <c r="Y42" i="14"/>
  <c r="Y41" i="14"/>
  <c r="Y40" i="14"/>
  <c r="Y39" i="14"/>
  <c r="Y38" i="14"/>
  <c r="Y37" i="14"/>
  <c r="Y36" i="14"/>
  <c r="Y35" i="14"/>
  <c r="Y34" i="14"/>
  <c r="Y33" i="14"/>
  <c r="Y32" i="14"/>
  <c r="Y31" i="14"/>
  <c r="Y30" i="14"/>
  <c r="Y29" i="14"/>
  <c r="Y28" i="14"/>
  <c r="Y27" i="14"/>
  <c r="Y26" i="14"/>
  <c r="Y25" i="14"/>
  <c r="Y24" i="14"/>
  <c r="Y23" i="14"/>
  <c r="Y22" i="14"/>
  <c r="Y21" i="14"/>
  <c r="Y20" i="14"/>
  <c r="Y18" i="14"/>
  <c r="Y17" i="14"/>
  <c r="Y13" i="14"/>
  <c r="P13" i="14"/>
  <c r="Y12" i="14"/>
  <c r="Y11" i="14"/>
  <c r="Y10" i="14"/>
  <c r="F101" i="13"/>
  <c r="F100" i="13"/>
  <c r="F99" i="13"/>
  <c r="F98" i="13"/>
  <c r="F97" i="13"/>
  <c r="F95" i="13"/>
  <c r="F94" i="13"/>
  <c r="F93" i="13"/>
  <c r="F92" i="13"/>
  <c r="F91" i="13"/>
  <c r="F65" i="13"/>
  <c r="Y62" i="13"/>
  <c r="Y60" i="13"/>
  <c r="Y59" i="13"/>
  <c r="Y57" i="13"/>
  <c r="Y56" i="13"/>
  <c r="Y54" i="13"/>
  <c r="Y53" i="13"/>
  <c r="Y52" i="13"/>
  <c r="Y50" i="13"/>
  <c r="Y49" i="13"/>
  <c r="Y48" i="13"/>
  <c r="Y47" i="13"/>
  <c r="Y44" i="13"/>
  <c r="Y43" i="13"/>
  <c r="Y42" i="13"/>
  <c r="Y41" i="13"/>
  <c r="Y40" i="13"/>
  <c r="Y38" i="13"/>
  <c r="Y37" i="13"/>
  <c r="Y36" i="13"/>
  <c r="Y35" i="13"/>
  <c r="Y34" i="13"/>
  <c r="Y33" i="13"/>
  <c r="Y32" i="13"/>
  <c r="Y31" i="13"/>
  <c r="Y30" i="13"/>
  <c r="Y29" i="13"/>
  <c r="Y28" i="13"/>
  <c r="Y27" i="13"/>
  <c r="Y26" i="13"/>
  <c r="Y25" i="13"/>
  <c r="Y24" i="13"/>
  <c r="Y23" i="13"/>
  <c r="Y22" i="13"/>
  <c r="Y21" i="13"/>
  <c r="Y19" i="13"/>
  <c r="Y18" i="13"/>
  <c r="Y17" i="13"/>
  <c r="Y13" i="13"/>
  <c r="P13" i="13"/>
  <c r="Y12" i="13"/>
  <c r="Y11" i="13"/>
  <c r="Y10" i="13"/>
  <c r="F120" i="12"/>
  <c r="F119" i="12"/>
  <c r="F118" i="12"/>
  <c r="F117" i="12"/>
  <c r="F116" i="12"/>
  <c r="F114" i="12"/>
  <c r="F113" i="12"/>
  <c r="F112" i="12"/>
  <c r="F111" i="12"/>
  <c r="F110" i="12"/>
  <c r="AG95" i="12"/>
  <c r="AH95" i="12"/>
  <c r="E95" i="12"/>
  <c r="D95" i="12"/>
  <c r="AG94" i="12"/>
  <c r="AH94" i="12"/>
  <c r="E94" i="12"/>
  <c r="D94" i="12"/>
  <c r="AG93" i="12"/>
  <c r="AH93" i="12"/>
  <c r="E93" i="12"/>
  <c r="D93" i="12"/>
  <c r="AG92" i="12"/>
  <c r="AH92" i="12"/>
  <c r="E92" i="12"/>
  <c r="D92" i="12"/>
  <c r="AG90" i="12"/>
  <c r="AH90" i="12"/>
  <c r="E90" i="12"/>
  <c r="D90" i="12"/>
  <c r="AG89" i="12"/>
  <c r="AH89" i="12"/>
  <c r="E89" i="12"/>
  <c r="D89" i="12"/>
  <c r="AG88" i="12"/>
  <c r="AH88" i="12"/>
  <c r="E88" i="12"/>
  <c r="D88" i="12"/>
  <c r="AG87" i="12"/>
  <c r="AH87" i="12"/>
  <c r="E87" i="12"/>
  <c r="D87" i="12"/>
  <c r="Y85" i="12"/>
  <c r="E85" i="12"/>
  <c r="D85" i="12"/>
  <c r="Y84" i="12"/>
  <c r="E84" i="12"/>
  <c r="D84" i="12"/>
  <c r="AG83" i="12"/>
  <c r="AH83" i="12"/>
  <c r="E83" i="12"/>
  <c r="D83" i="12"/>
  <c r="AG82" i="12"/>
  <c r="AH82" i="12"/>
  <c r="E82" i="12"/>
  <c r="D82" i="12"/>
  <c r="AG81" i="12"/>
  <c r="AH81" i="12"/>
  <c r="E81" i="12"/>
  <c r="D81" i="12"/>
  <c r="AG78" i="12"/>
  <c r="AH78" i="12"/>
  <c r="AG77" i="12"/>
  <c r="AH77" i="12"/>
  <c r="AG76" i="12"/>
  <c r="AH76" i="12"/>
  <c r="Y75" i="12"/>
  <c r="AG74" i="12"/>
  <c r="AH74" i="12"/>
  <c r="AG73" i="12"/>
  <c r="AH73" i="12"/>
  <c r="AG72" i="12"/>
  <c r="AH72" i="12"/>
  <c r="AG71" i="12"/>
  <c r="AH71" i="12"/>
  <c r="AG70" i="12"/>
  <c r="AH70" i="12"/>
  <c r="AG69" i="12"/>
  <c r="AH69" i="12"/>
  <c r="Y62" i="12"/>
  <c r="Y60" i="12"/>
  <c r="Y59" i="12"/>
  <c r="Y57" i="12"/>
  <c r="Y56" i="12"/>
  <c r="Y53" i="12"/>
  <c r="Y52" i="12"/>
  <c r="Y51" i="12"/>
  <c r="Y50" i="12"/>
  <c r="Y49" i="12"/>
  <c r="Y48" i="12"/>
  <c r="Y47" i="12"/>
  <c r="G45" i="12"/>
  <c r="Y44" i="12"/>
  <c r="Y43" i="12"/>
  <c r="Y42" i="12"/>
  <c r="Y41" i="12"/>
  <c r="Y40" i="12"/>
  <c r="Y39" i="12"/>
  <c r="Y38" i="12"/>
  <c r="Y37" i="12"/>
  <c r="Y36" i="12"/>
  <c r="Y35" i="12"/>
  <c r="Y34" i="12"/>
  <c r="Y33" i="12"/>
  <c r="Y32" i="12"/>
  <c r="Y31" i="12"/>
  <c r="Y30" i="12"/>
  <c r="Y29" i="12"/>
  <c r="Y28" i="12"/>
  <c r="Y27" i="12"/>
  <c r="Y26" i="12"/>
  <c r="Y25" i="12"/>
  <c r="Y24" i="12"/>
  <c r="Y23" i="12"/>
  <c r="Y22" i="12"/>
  <c r="Y21" i="12"/>
  <c r="Y20" i="12"/>
  <c r="Y19" i="12"/>
  <c r="Y18" i="12"/>
  <c r="Y17" i="12"/>
  <c r="Y13" i="12"/>
  <c r="P13" i="12"/>
  <c r="Y12" i="12"/>
  <c r="Y11" i="12"/>
  <c r="Y10" i="12"/>
  <c r="E121" i="11"/>
  <c r="E120" i="11"/>
  <c r="E119" i="11"/>
  <c r="E118" i="11"/>
  <c r="E106" i="11"/>
  <c r="E105" i="11"/>
  <c r="E104" i="11"/>
  <c r="E103" i="11"/>
  <c r="E97" i="11"/>
  <c r="E96" i="11"/>
  <c r="E95" i="11"/>
  <c r="E94" i="11"/>
  <c r="E89" i="11"/>
  <c r="E88" i="11"/>
  <c r="E87" i="11"/>
  <c r="E86" i="11"/>
  <c r="E85" i="11"/>
  <c r="E83" i="11"/>
  <c r="E78" i="11"/>
  <c r="E77" i="11"/>
  <c r="E76" i="11"/>
  <c r="E75" i="11"/>
  <c r="E74" i="11"/>
  <c r="E73" i="11"/>
  <c r="E72" i="11"/>
  <c r="E71" i="11"/>
  <c r="S160" i="10"/>
  <c r="U159" i="10"/>
  <c r="T159" i="10"/>
  <c r="R159" i="10"/>
  <c r="E159" i="10"/>
  <c r="U158" i="10"/>
  <c r="T158" i="10"/>
  <c r="E158" i="10"/>
  <c r="U157" i="10"/>
  <c r="T157" i="10"/>
  <c r="Q157" i="10"/>
  <c r="E157" i="10"/>
  <c r="U142" i="10"/>
  <c r="T142" i="10"/>
  <c r="S142" i="10"/>
  <c r="R142" i="10"/>
  <c r="Q142" i="10"/>
  <c r="U141" i="10"/>
  <c r="T141" i="10"/>
  <c r="U140" i="10"/>
  <c r="T140" i="10"/>
  <c r="U139" i="10"/>
  <c r="T139" i="10"/>
  <c r="U138" i="10"/>
  <c r="T138" i="10"/>
  <c r="U137" i="10"/>
  <c r="T137" i="10"/>
  <c r="U131" i="10"/>
  <c r="T131" i="10"/>
  <c r="S131" i="10"/>
  <c r="R131" i="10"/>
  <c r="Q131" i="10"/>
  <c r="U130" i="10"/>
  <c r="T130" i="10"/>
  <c r="S130" i="10"/>
  <c r="R130" i="10"/>
  <c r="Q130" i="10"/>
  <c r="S123" i="10"/>
  <c r="U120" i="10"/>
  <c r="T120" i="10"/>
  <c r="S120" i="10"/>
  <c r="R120" i="10"/>
  <c r="Q120" i="10"/>
  <c r="U113" i="10"/>
  <c r="T113" i="10"/>
  <c r="S113" i="10"/>
  <c r="R113" i="10"/>
  <c r="Q113" i="10"/>
  <c r="U112" i="10"/>
  <c r="T112" i="10"/>
  <c r="S112" i="10"/>
  <c r="R112" i="10"/>
  <c r="Q112" i="10"/>
  <c r="U111" i="10"/>
  <c r="T111" i="10"/>
  <c r="S111" i="10"/>
  <c r="R111" i="10"/>
  <c r="Q111" i="10"/>
  <c r="U110" i="10"/>
  <c r="T110" i="10"/>
  <c r="S110" i="10"/>
  <c r="R110" i="10"/>
  <c r="Q110" i="10"/>
  <c r="U109" i="10"/>
  <c r="T109" i="10"/>
  <c r="S109" i="10"/>
  <c r="R109" i="10"/>
  <c r="Q109" i="10"/>
  <c r="U108" i="10"/>
  <c r="T108" i="10"/>
  <c r="S108" i="10"/>
  <c r="R108" i="10"/>
  <c r="Q108" i="10"/>
  <c r="U107" i="10"/>
  <c r="T107" i="10"/>
  <c r="S107" i="10"/>
  <c r="R107" i="10"/>
  <c r="Q107" i="10"/>
  <c r="U106" i="10"/>
  <c r="T106" i="10"/>
  <c r="S106" i="10"/>
  <c r="R106" i="10"/>
  <c r="Q106" i="10"/>
  <c r="U105" i="10"/>
  <c r="T105" i="10"/>
  <c r="S105" i="10"/>
  <c r="R105" i="10"/>
  <c r="Q105" i="10"/>
  <c r="U104" i="10"/>
  <c r="T104" i="10"/>
  <c r="S104" i="10"/>
  <c r="R104" i="10"/>
  <c r="Q104" i="10"/>
  <c r="U103" i="10"/>
  <c r="T103" i="10"/>
  <c r="S103" i="10"/>
  <c r="R103" i="10"/>
  <c r="Q103" i="10"/>
  <c r="U52" i="10"/>
  <c r="T52" i="10"/>
  <c r="S52" i="10"/>
  <c r="R52" i="10"/>
  <c r="Q52" i="10"/>
  <c r="U51" i="10"/>
  <c r="T51" i="10"/>
  <c r="S51" i="10"/>
  <c r="R51" i="10"/>
  <c r="Q51" i="10"/>
  <c r="U50" i="10"/>
  <c r="T50" i="10"/>
  <c r="S50" i="10"/>
  <c r="R50" i="10"/>
  <c r="Q50" i="10"/>
  <c r="U49" i="10"/>
  <c r="T49" i="10"/>
  <c r="S49" i="10"/>
  <c r="R49" i="10"/>
  <c r="Q49" i="10"/>
  <c r="U48" i="10"/>
  <c r="T48" i="10"/>
  <c r="S48" i="10"/>
  <c r="R48" i="10"/>
  <c r="Q48" i="10"/>
  <c r="I47" i="10"/>
  <c r="I46" i="10"/>
  <c r="U45" i="10"/>
  <c r="T45" i="10"/>
  <c r="S45" i="10"/>
  <c r="R45" i="10"/>
  <c r="Q45" i="10"/>
  <c r="U44" i="10"/>
  <c r="T44" i="10"/>
  <c r="S44" i="10"/>
  <c r="R44" i="10"/>
  <c r="Q44" i="10"/>
  <c r="U43" i="10"/>
  <c r="T43" i="10"/>
  <c r="S43" i="10"/>
  <c r="R43" i="10"/>
  <c r="Q43" i="10"/>
  <c r="U42" i="10"/>
  <c r="T42" i="10"/>
  <c r="S42" i="10"/>
  <c r="R42" i="10"/>
  <c r="Q42" i="10"/>
  <c r="U40" i="10"/>
  <c r="T40" i="10"/>
  <c r="S40" i="10"/>
  <c r="R40" i="10"/>
  <c r="Q40" i="10"/>
  <c r="U39" i="10"/>
  <c r="T39" i="10"/>
  <c r="S39" i="10"/>
  <c r="R39" i="10"/>
  <c r="Q39" i="10"/>
  <c r="U38" i="10"/>
  <c r="T38" i="10"/>
  <c r="S38" i="10"/>
  <c r="R38" i="10"/>
  <c r="Q38" i="10"/>
  <c r="U37" i="10"/>
  <c r="T37" i="10"/>
  <c r="S37" i="10"/>
  <c r="R37" i="10"/>
  <c r="Q37" i="10"/>
  <c r="I37" i="10"/>
  <c r="U36" i="10"/>
  <c r="T36" i="10"/>
  <c r="S36" i="10"/>
  <c r="R36" i="10"/>
  <c r="Q36" i="10"/>
  <c r="U35" i="10"/>
  <c r="T35" i="10"/>
  <c r="S35" i="10"/>
  <c r="R35" i="10"/>
  <c r="Q35" i="10"/>
  <c r="U34" i="10"/>
  <c r="T34" i="10"/>
  <c r="S34" i="10"/>
  <c r="R34" i="10"/>
  <c r="Q34" i="10"/>
  <c r="U33" i="10"/>
  <c r="T33" i="10"/>
  <c r="S33" i="10"/>
  <c r="R33" i="10"/>
  <c r="Q33" i="10"/>
  <c r="U32" i="10"/>
  <c r="T32" i="10"/>
  <c r="S32" i="10"/>
  <c r="R32" i="10"/>
  <c r="Q32" i="10"/>
  <c r="U31" i="10"/>
  <c r="T31" i="10"/>
  <c r="S31" i="10"/>
  <c r="R31" i="10"/>
  <c r="Q31" i="10"/>
  <c r="U30" i="10"/>
  <c r="T30" i="10"/>
  <c r="S30" i="10"/>
  <c r="R30" i="10"/>
  <c r="Q30" i="10"/>
  <c r="U29" i="10"/>
  <c r="T29" i="10"/>
  <c r="S29" i="10"/>
  <c r="R29" i="10"/>
  <c r="Q29" i="10"/>
  <c r="U28" i="10"/>
  <c r="T28" i="10"/>
  <c r="S28" i="10"/>
  <c r="R28" i="10"/>
  <c r="Q28" i="10"/>
  <c r="U27" i="10"/>
  <c r="T27" i="10"/>
  <c r="S27" i="10"/>
  <c r="R27" i="10"/>
  <c r="Q27" i="10"/>
  <c r="U26" i="10"/>
  <c r="T26" i="10"/>
  <c r="S26" i="10"/>
  <c r="R26" i="10"/>
  <c r="Q26" i="10"/>
  <c r="U24" i="10"/>
  <c r="T24" i="10"/>
  <c r="S24" i="10"/>
  <c r="R24" i="10"/>
  <c r="Q24" i="10"/>
  <c r="I24" i="10"/>
  <c r="U23" i="10"/>
  <c r="T23" i="10"/>
  <c r="S23" i="10"/>
  <c r="R23" i="10"/>
  <c r="Q23" i="10"/>
  <c r="U22" i="10"/>
  <c r="T22" i="10"/>
  <c r="S22" i="10"/>
  <c r="R22" i="10"/>
  <c r="Q22" i="10"/>
  <c r="U21" i="10"/>
  <c r="T21" i="10"/>
  <c r="S21" i="10"/>
  <c r="R21" i="10"/>
  <c r="Q21" i="10"/>
  <c r="U20" i="10"/>
  <c r="T20" i="10"/>
  <c r="S20" i="10"/>
  <c r="R20" i="10"/>
  <c r="Q20" i="10"/>
  <c r="U19" i="10"/>
  <c r="T19" i="10"/>
  <c r="S19" i="10"/>
  <c r="R19" i="10"/>
  <c r="Q19" i="10"/>
  <c r="U18" i="10"/>
  <c r="T18" i="10"/>
  <c r="S18" i="10"/>
  <c r="R18" i="10"/>
  <c r="Q18" i="10"/>
  <c r="U17" i="10"/>
  <c r="T17" i="10"/>
  <c r="S17" i="10"/>
  <c r="R17" i="10"/>
  <c r="Q17" i="10"/>
  <c r="U16" i="10"/>
  <c r="T16" i="10"/>
  <c r="S16" i="10"/>
  <c r="R16" i="10"/>
  <c r="Q16" i="10"/>
  <c r="U14" i="10"/>
  <c r="T14" i="10"/>
  <c r="S14" i="10"/>
  <c r="R14" i="10"/>
  <c r="Q14" i="10"/>
  <c r="U8" i="10"/>
  <c r="T8" i="10"/>
  <c r="S8" i="10"/>
  <c r="R8" i="10"/>
  <c r="Q8" i="10"/>
  <c r="U7" i="10"/>
  <c r="T7" i="10"/>
  <c r="S7" i="10"/>
  <c r="R7" i="10"/>
  <c r="Q7" i="10"/>
  <c r="E38" i="7"/>
  <c r="F38" i="7"/>
  <c r="G38" i="7"/>
  <c r="H38" i="7"/>
  <c r="D38" i="7"/>
  <c r="C37" i="7"/>
  <c r="D33" i="7"/>
  <c r="E33" i="7"/>
  <c r="F33" i="7"/>
  <c r="G33" i="7"/>
  <c r="D32" i="7"/>
  <c r="E32" i="7"/>
  <c r="F32" i="7"/>
  <c r="G32" i="7"/>
  <c r="G12" i="7"/>
  <c r="F12" i="7"/>
  <c r="E12" i="7"/>
  <c r="D12" i="7"/>
  <c r="C12" i="7"/>
  <c r="E10" i="7"/>
  <c r="F10" i="7"/>
  <c r="G10" i="7"/>
  <c r="H10" i="7"/>
  <c r="I10" i="7"/>
  <c r="J10" i="7"/>
  <c r="K10" i="7"/>
  <c r="L10" i="7"/>
  <c r="M10" i="7"/>
  <c r="D9" i="7"/>
  <c r="E9" i="7"/>
  <c r="F9" i="7"/>
  <c r="G9" i="7"/>
  <c r="H9" i="7"/>
  <c r="I9" i="7"/>
  <c r="J9" i="7"/>
  <c r="K9" i="7"/>
  <c r="L9" i="7"/>
  <c r="M9" i="7"/>
  <c r="D8" i="7"/>
  <c r="E8" i="7"/>
  <c r="F8" i="7"/>
  <c r="G8" i="7"/>
  <c r="C5" i="7"/>
  <c r="C7" i="7"/>
  <c r="G34" i="21"/>
  <c r="K34" i="21"/>
  <c r="Q121" i="10"/>
  <c r="T147" i="10"/>
  <c r="E84" i="11"/>
  <c r="H32" i="7"/>
  <c r="J124" i="10"/>
  <c r="J120" i="10"/>
  <c r="U5" i="14"/>
  <c r="X5" i="14"/>
  <c r="T5" i="14"/>
  <c r="W5" i="14"/>
  <c r="S5" i="14"/>
  <c r="R5" i="14"/>
  <c r="V5" i="14"/>
  <c r="V5" i="12"/>
  <c r="R5" i="12"/>
  <c r="D7" i="7"/>
  <c r="E7" i="7"/>
  <c r="F7" i="7"/>
  <c r="G7" i="7"/>
  <c r="U5" i="12"/>
  <c r="X5" i="12"/>
  <c r="T5" i="12"/>
  <c r="S5" i="12"/>
  <c r="W5" i="12"/>
  <c r="L84" i="12"/>
  <c r="H33" i="7"/>
  <c r="K119" i="10"/>
  <c r="I104" i="10"/>
  <c r="I108" i="10"/>
  <c r="I110" i="10"/>
  <c r="I112" i="10"/>
  <c r="J119" i="10"/>
  <c r="I120" i="10"/>
  <c r="I130" i="10"/>
  <c r="M130" i="10"/>
  <c r="I131" i="10"/>
  <c r="M131" i="10"/>
  <c r="I136" i="10"/>
  <c r="M136" i="10"/>
  <c r="K138" i="10"/>
  <c r="K139" i="10"/>
  <c r="K140" i="10"/>
  <c r="K141" i="10"/>
  <c r="K142" i="10"/>
  <c r="K147" i="10"/>
  <c r="K148" i="10"/>
  <c r="K150" i="10"/>
  <c r="K151" i="10"/>
  <c r="J160" i="10"/>
  <c r="J172" i="10"/>
  <c r="L173" i="10"/>
  <c r="J174" i="10"/>
  <c r="L175" i="10"/>
  <c r="J125" i="10"/>
  <c r="J126" i="10"/>
  <c r="J127" i="10"/>
  <c r="J128" i="10"/>
  <c r="J130" i="10"/>
  <c r="J131" i="10"/>
  <c r="J136" i="10"/>
  <c r="L138" i="10"/>
  <c r="L139" i="10"/>
  <c r="L140" i="10"/>
  <c r="L141" i="10"/>
  <c r="L142" i="10"/>
  <c r="L147" i="10"/>
  <c r="L148" i="10"/>
  <c r="L150" i="10"/>
  <c r="L151" i="10"/>
  <c r="K160" i="10"/>
  <c r="K172" i="10"/>
  <c r="I173" i="10"/>
  <c r="M173" i="10"/>
  <c r="K174" i="10"/>
  <c r="I175" i="10"/>
  <c r="M175" i="10"/>
  <c r="I109" i="10"/>
  <c r="I111" i="10"/>
  <c r="L119" i="10"/>
  <c r="K130" i="10"/>
  <c r="K131" i="10"/>
  <c r="K136" i="10"/>
  <c r="I138" i="10"/>
  <c r="M138" i="10"/>
  <c r="I139" i="10"/>
  <c r="M139" i="10"/>
  <c r="I140" i="10"/>
  <c r="M140" i="10"/>
  <c r="O80" i="21"/>
  <c r="I141" i="10"/>
  <c r="M141" i="10"/>
  <c r="I142" i="10"/>
  <c r="M142" i="10"/>
  <c r="I147" i="10"/>
  <c r="M147" i="10"/>
  <c r="I148" i="10"/>
  <c r="M148" i="10"/>
  <c r="I150" i="10"/>
  <c r="M150" i="10"/>
  <c r="I151" i="10"/>
  <c r="M151" i="10"/>
  <c r="L160" i="10"/>
  <c r="L172" i="10"/>
  <c r="J173" i="10"/>
  <c r="L174" i="10"/>
  <c r="J175" i="10"/>
  <c r="I32" i="10"/>
  <c r="I40" i="10"/>
  <c r="I45" i="10"/>
  <c r="I119" i="10"/>
  <c r="M119" i="10"/>
  <c r="L130" i="10"/>
  <c r="L131" i="10"/>
  <c r="L136" i="10"/>
  <c r="J137" i="10"/>
  <c r="J138" i="10"/>
  <c r="J139" i="10"/>
  <c r="J140" i="10"/>
  <c r="J141" i="10"/>
  <c r="J142" i="10"/>
  <c r="J147" i="10"/>
  <c r="J148" i="10"/>
  <c r="J150" i="10"/>
  <c r="J151" i="10"/>
  <c r="I160" i="10"/>
  <c r="M160" i="10"/>
  <c r="O93" i="21"/>
  <c r="I172" i="10"/>
  <c r="M172" i="10"/>
  <c r="K173" i="10"/>
  <c r="I174" i="10"/>
  <c r="M174" i="10"/>
  <c r="K175" i="10"/>
  <c r="N79" i="21"/>
  <c r="G35" i="21"/>
  <c r="K35" i="21"/>
  <c r="G28" i="21"/>
  <c r="K28" i="21"/>
  <c r="G17" i="21"/>
  <c r="K17" i="21"/>
  <c r="G27" i="21"/>
  <c r="K27" i="21"/>
  <c r="G36" i="21"/>
  <c r="K36" i="21"/>
  <c r="G37" i="21"/>
  <c r="K37" i="21"/>
  <c r="T124" i="10"/>
  <c r="S139" i="10"/>
  <c r="S137" i="10"/>
  <c r="S151" i="10"/>
  <c r="S140" i="10"/>
  <c r="S148" i="10"/>
  <c r="W73" i="12"/>
  <c r="S73" i="12"/>
  <c r="V73" i="12"/>
  <c r="R73" i="12"/>
  <c r="U73" i="12"/>
  <c r="X73" i="12"/>
  <c r="T73" i="12"/>
  <c r="R124" i="10"/>
  <c r="V95" i="12"/>
  <c r="R95" i="12"/>
  <c r="W95" i="12"/>
  <c r="U95" i="12"/>
  <c r="T95" i="12"/>
  <c r="X95" i="12"/>
  <c r="S95" i="12"/>
  <c r="R160" i="10"/>
  <c r="U148" i="10"/>
  <c r="U79" i="14"/>
  <c r="V79" i="14"/>
  <c r="T79" i="14"/>
  <c r="X79" i="14"/>
  <c r="S79" i="14"/>
  <c r="W79" i="14"/>
  <c r="R79" i="14"/>
  <c r="Q127" i="10"/>
  <c r="Q126" i="10"/>
  <c r="X91" i="14"/>
  <c r="T91" i="14"/>
  <c r="U91" i="14"/>
  <c r="S91" i="14"/>
  <c r="W91" i="14"/>
  <c r="R91" i="14"/>
  <c r="V91" i="14"/>
  <c r="Q148" i="10"/>
  <c r="V80" i="14"/>
  <c r="R80" i="14"/>
  <c r="X80" i="14"/>
  <c r="S80" i="14"/>
  <c r="W80" i="14"/>
  <c r="U80" i="14"/>
  <c r="T80" i="14"/>
  <c r="Q128" i="10"/>
  <c r="V92" i="14"/>
  <c r="R92" i="14"/>
  <c r="X92" i="14"/>
  <c r="S92" i="14"/>
  <c r="W92" i="14"/>
  <c r="U92" i="14"/>
  <c r="T92" i="14"/>
  <c r="Q150" i="10"/>
  <c r="S127" i="10"/>
  <c r="S129" i="10"/>
  <c r="R122" i="10"/>
  <c r="X77" i="12"/>
  <c r="T77" i="12"/>
  <c r="W77" i="12"/>
  <c r="S77" i="12"/>
  <c r="V77" i="12"/>
  <c r="R77" i="12"/>
  <c r="U77" i="12"/>
  <c r="Y77" i="12"/>
  <c r="R128" i="10"/>
  <c r="X89" i="12"/>
  <c r="T89" i="12"/>
  <c r="W89" i="12"/>
  <c r="S89" i="12"/>
  <c r="V89" i="12"/>
  <c r="R89" i="12"/>
  <c r="U89" i="12"/>
  <c r="Y89" i="12"/>
  <c r="R150" i="10"/>
  <c r="W76" i="12"/>
  <c r="S76" i="12"/>
  <c r="V76" i="12"/>
  <c r="R76" i="12"/>
  <c r="T76" i="12"/>
  <c r="U76" i="12"/>
  <c r="X76" i="12"/>
  <c r="Y76" i="12"/>
  <c r="R127" i="10"/>
  <c r="V81" i="12"/>
  <c r="R81" i="12"/>
  <c r="S81" i="12"/>
  <c r="T81" i="12"/>
  <c r="U81" i="12"/>
  <c r="W81" i="12"/>
  <c r="X81" i="12"/>
  <c r="Y81" i="12"/>
  <c r="R137" i="10"/>
  <c r="V90" i="12"/>
  <c r="R90" i="12"/>
  <c r="U90" i="12"/>
  <c r="X90" i="12"/>
  <c r="T90" i="12"/>
  <c r="S90" i="12"/>
  <c r="W90" i="12"/>
  <c r="Y90" i="12"/>
  <c r="R151" i="10"/>
  <c r="Q122" i="10"/>
  <c r="Q141" i="10"/>
  <c r="V90" i="14"/>
  <c r="R90" i="14"/>
  <c r="W90" i="14"/>
  <c r="U90" i="14"/>
  <c r="T90" i="14"/>
  <c r="S90" i="14"/>
  <c r="X90" i="14"/>
  <c r="Q147" i="10"/>
  <c r="X87" i="12"/>
  <c r="T87" i="12"/>
  <c r="W87" i="12"/>
  <c r="S87" i="12"/>
  <c r="V87" i="12"/>
  <c r="R87" i="12"/>
  <c r="U87" i="12"/>
  <c r="Y87" i="12"/>
  <c r="R147" i="10"/>
  <c r="V88" i="12"/>
  <c r="R88" i="12"/>
  <c r="U88" i="12"/>
  <c r="X88" i="12"/>
  <c r="T88" i="12"/>
  <c r="S88" i="12"/>
  <c r="W88" i="12"/>
  <c r="Y88" i="12"/>
  <c r="R148" i="10"/>
  <c r="T123" i="10"/>
  <c r="U147" i="10"/>
  <c r="T122" i="10"/>
  <c r="T148" i="10"/>
  <c r="U124" i="10"/>
  <c r="U151" i="10"/>
  <c r="U160" i="10"/>
  <c r="W72" i="14"/>
  <c r="S72" i="14"/>
  <c r="T72" i="14"/>
  <c r="X72" i="14"/>
  <c r="R72" i="14"/>
  <c r="V72" i="14"/>
  <c r="U72" i="14"/>
  <c r="X93" i="14"/>
  <c r="T93" i="14"/>
  <c r="V93" i="14"/>
  <c r="U93" i="14"/>
  <c r="S93" i="14"/>
  <c r="W93" i="14"/>
  <c r="R93" i="14"/>
  <c r="Q151" i="10"/>
  <c r="V86" i="14"/>
  <c r="R86" i="14"/>
  <c r="W86" i="14"/>
  <c r="U86" i="14"/>
  <c r="T86" i="14"/>
  <c r="X86" i="14"/>
  <c r="S86" i="14"/>
  <c r="Q139" i="10"/>
  <c r="U95" i="14"/>
  <c r="X95" i="14"/>
  <c r="T95" i="14"/>
  <c r="R95" i="14"/>
  <c r="W95" i="14"/>
  <c r="V95" i="14"/>
  <c r="S95" i="14"/>
  <c r="V81" i="14"/>
  <c r="R81" i="14"/>
  <c r="X81" i="14"/>
  <c r="S81" i="14"/>
  <c r="W81" i="14"/>
  <c r="U81" i="14"/>
  <c r="T81" i="14"/>
  <c r="Q129" i="10"/>
  <c r="V96" i="14"/>
  <c r="R96" i="14"/>
  <c r="U96" i="14"/>
  <c r="T96" i="14"/>
  <c r="S96" i="14"/>
  <c r="X96" i="14"/>
  <c r="W96" i="14"/>
  <c r="S124" i="10"/>
  <c r="S150" i="10"/>
  <c r="S128" i="10"/>
  <c r="S126" i="10"/>
  <c r="R126" i="10"/>
  <c r="X78" i="12"/>
  <c r="T78" i="12"/>
  <c r="W78" i="12"/>
  <c r="S78" i="12"/>
  <c r="V78" i="12"/>
  <c r="R78" i="12"/>
  <c r="U78" i="12"/>
  <c r="Y78" i="12"/>
  <c r="R129" i="10"/>
  <c r="U69" i="12"/>
  <c r="X69" i="12"/>
  <c r="T69" i="12"/>
  <c r="W69" i="12"/>
  <c r="S69" i="12"/>
  <c r="V69" i="12"/>
  <c r="R69" i="12"/>
  <c r="R141" i="10"/>
  <c r="X83" i="12"/>
  <c r="T83" i="12"/>
  <c r="W83" i="12"/>
  <c r="S83" i="12"/>
  <c r="R83" i="12"/>
  <c r="U83" i="12"/>
  <c r="V83" i="12"/>
  <c r="Y83" i="12"/>
  <c r="R139" i="10"/>
  <c r="V93" i="12"/>
  <c r="R93" i="12"/>
  <c r="U93" i="12"/>
  <c r="X93" i="12"/>
  <c r="T93" i="12"/>
  <c r="W93" i="12"/>
  <c r="S93" i="12"/>
  <c r="L38" i="12"/>
  <c r="U123" i="10"/>
  <c r="Q123" i="10"/>
  <c r="V77" i="14"/>
  <c r="R77" i="14"/>
  <c r="T77" i="14"/>
  <c r="X77" i="14"/>
  <c r="S77" i="14"/>
  <c r="W77" i="14"/>
  <c r="U77" i="14"/>
  <c r="Q125" i="10"/>
  <c r="S141" i="10"/>
  <c r="S138" i="10"/>
  <c r="X74" i="12"/>
  <c r="T74" i="12"/>
  <c r="W74" i="12"/>
  <c r="S74" i="12"/>
  <c r="V74" i="12"/>
  <c r="R74" i="12"/>
  <c r="U74" i="12"/>
  <c r="R125" i="10"/>
  <c r="R123" i="10"/>
  <c r="T160" i="10"/>
  <c r="T121" i="10"/>
  <c r="T151" i="10"/>
  <c r="U71" i="16"/>
  <c r="X71" i="16"/>
  <c r="T71" i="16"/>
  <c r="W71" i="16"/>
  <c r="V71" i="16"/>
  <c r="S71" i="16"/>
  <c r="R71" i="16"/>
  <c r="U121" i="10"/>
  <c r="U122" i="10"/>
  <c r="U150" i="10"/>
  <c r="X84" i="14"/>
  <c r="T84" i="14"/>
  <c r="S84" i="14"/>
  <c r="W84" i="14"/>
  <c r="R84" i="14"/>
  <c r="V84" i="14"/>
  <c r="U84" i="14"/>
  <c r="Q137" i="10"/>
  <c r="U76" i="14"/>
  <c r="W76" i="14"/>
  <c r="R76" i="14"/>
  <c r="V76" i="14"/>
  <c r="T76" i="14"/>
  <c r="X76" i="14"/>
  <c r="S76" i="14"/>
  <c r="Q124" i="10"/>
  <c r="Q140" i="10"/>
  <c r="W98" i="14"/>
  <c r="S98" i="14"/>
  <c r="V98" i="14"/>
  <c r="R98" i="14"/>
  <c r="T98" i="14"/>
  <c r="X98" i="14"/>
  <c r="U98" i="14"/>
  <c r="Q160" i="10"/>
  <c r="V85" i="14"/>
  <c r="R85" i="14"/>
  <c r="W85" i="14"/>
  <c r="U85" i="14"/>
  <c r="T85" i="14"/>
  <c r="S85" i="14"/>
  <c r="X85" i="14"/>
  <c r="Q138" i="10"/>
  <c r="V97" i="14"/>
  <c r="R97" i="14"/>
  <c r="U97" i="14"/>
  <c r="X97" i="14"/>
  <c r="W97" i="14"/>
  <c r="T97" i="14"/>
  <c r="S97" i="14"/>
  <c r="S121" i="10"/>
  <c r="S147" i="10"/>
  <c r="S125" i="10"/>
  <c r="S122" i="10"/>
  <c r="U92" i="12"/>
  <c r="X92" i="12"/>
  <c r="R92" i="12"/>
  <c r="S92" i="12"/>
  <c r="T92" i="12"/>
  <c r="V92" i="12"/>
  <c r="W92" i="12"/>
  <c r="Y92" i="12"/>
  <c r="X82" i="12"/>
  <c r="T82" i="12"/>
  <c r="W82" i="12"/>
  <c r="S82" i="12"/>
  <c r="V82" i="12"/>
  <c r="R82" i="12"/>
  <c r="U82" i="12"/>
  <c r="R138" i="10"/>
  <c r="R121" i="10"/>
  <c r="R140" i="10"/>
  <c r="V94" i="12"/>
  <c r="R94" i="12"/>
  <c r="S94" i="12"/>
  <c r="T94" i="12"/>
  <c r="U94" i="12"/>
  <c r="W94" i="12"/>
  <c r="X94" i="12"/>
  <c r="Y94" i="12"/>
  <c r="E15" i="5"/>
  <c r="F15" i="5"/>
  <c r="G15" i="5"/>
  <c r="H15" i="5"/>
  <c r="Y82" i="12"/>
  <c r="Y74" i="12"/>
  <c r="Y93" i="12"/>
  <c r="Y69" i="12"/>
  <c r="Y95" i="12"/>
  <c r="Y73" i="12"/>
  <c r="Q84" i="15"/>
  <c r="G57" i="21"/>
  <c r="K57" i="21"/>
  <c r="O79" i="21"/>
  <c r="Q20" i="13"/>
  <c r="Y71" i="16"/>
  <c r="L72" i="16"/>
  <c r="Q19" i="16"/>
  <c r="P10" i="16"/>
  <c r="P12" i="16"/>
  <c r="Q89" i="15"/>
  <c r="Q88" i="15"/>
  <c r="M85" i="21"/>
  <c r="Q86" i="15"/>
  <c r="Q90" i="15"/>
  <c r="Q75" i="15"/>
  <c r="Q77" i="15"/>
  <c r="Q78" i="15"/>
  <c r="P10" i="15"/>
  <c r="P12" i="15"/>
  <c r="L18" i="12"/>
  <c r="L89" i="12"/>
  <c r="L95" i="12"/>
  <c r="L12" i="12"/>
  <c r="P12" i="12"/>
  <c r="L11" i="12"/>
  <c r="L10" i="12"/>
  <c r="P10" i="12"/>
  <c r="Y75" i="13"/>
  <c r="Q73" i="13"/>
  <c r="G38" i="21"/>
  <c r="K38" i="21"/>
  <c r="O71" i="21"/>
  <c r="G32" i="21"/>
  <c r="K32" i="21"/>
  <c r="G24" i="21"/>
  <c r="K24" i="21"/>
  <c r="G49" i="21"/>
  <c r="K49" i="21"/>
  <c r="Q90" i="22"/>
  <c r="G73" i="21"/>
  <c r="K73" i="21"/>
  <c r="G51" i="21"/>
  <c r="K51" i="21"/>
  <c r="G40" i="21"/>
  <c r="K40" i="21"/>
  <c r="M72" i="21"/>
  <c r="G25" i="21"/>
  <c r="K25" i="21"/>
  <c r="G33" i="21"/>
  <c r="K33" i="21"/>
  <c r="G26" i="21"/>
  <c r="K26" i="21"/>
  <c r="N75" i="21"/>
  <c r="G81" i="21"/>
  <c r="K81" i="21"/>
  <c r="N74" i="21"/>
  <c r="G42" i="21"/>
  <c r="K42" i="21"/>
  <c r="F81" i="21"/>
  <c r="F93" i="21"/>
  <c r="P12" i="22"/>
  <c r="Q94" i="22"/>
  <c r="Q18" i="22"/>
  <c r="P10" i="22"/>
  <c r="P11" i="22"/>
  <c r="P13" i="22"/>
  <c r="Q20" i="22"/>
  <c r="Q19" i="22"/>
  <c r="Q21" i="22"/>
  <c r="Q22" i="22"/>
  <c r="O73" i="21"/>
  <c r="M71" i="21"/>
  <c r="N76" i="21"/>
  <c r="E127" i="10"/>
  <c r="F75" i="21"/>
  <c r="L51" i="14"/>
  <c r="M79" i="21"/>
  <c r="G20" i="21"/>
  <c r="K20" i="21"/>
  <c r="M74" i="21"/>
  <c r="G29" i="21"/>
  <c r="K29" i="21"/>
  <c r="F79" i="21"/>
  <c r="O75" i="21"/>
  <c r="N71" i="21"/>
  <c r="G56" i="23"/>
  <c r="G48" i="21"/>
  <c r="K48" i="21"/>
  <c r="N83" i="21"/>
  <c r="O74" i="21"/>
  <c r="G71" i="21"/>
  <c r="K71" i="21"/>
  <c r="M73" i="21"/>
  <c r="E124" i="10"/>
  <c r="L52" i="14"/>
  <c r="Y96" i="14"/>
  <c r="Y72" i="14"/>
  <c r="F93" i="14"/>
  <c r="Y84" i="14"/>
  <c r="F91" i="14"/>
  <c r="Y95" i="14"/>
  <c r="Y79" i="14"/>
  <c r="Y76" i="14"/>
  <c r="Y77" i="14"/>
  <c r="Y81" i="14"/>
  <c r="Y86" i="14"/>
  <c r="Y90" i="14"/>
  <c r="Y80" i="14"/>
  <c r="Y93" i="14"/>
  <c r="F97" i="14"/>
  <c r="Y97" i="14"/>
  <c r="Y85" i="14"/>
  <c r="Y98" i="14"/>
  <c r="Y91" i="14"/>
  <c r="Y92" i="14"/>
  <c r="L50" i="14"/>
  <c r="F98" i="14"/>
  <c r="F84" i="14"/>
  <c r="F90" i="14"/>
  <c r="L80" i="14"/>
  <c r="E128" i="10"/>
  <c r="F81" i="12"/>
  <c r="F85" i="12"/>
  <c r="F88" i="12"/>
  <c r="F90" i="12"/>
  <c r="E129" i="10"/>
  <c r="G31" i="21"/>
  <c r="K31" i="21"/>
  <c r="N72" i="21"/>
  <c r="G72" i="21"/>
  <c r="K72" i="21"/>
  <c r="M93" i="21"/>
  <c r="G39" i="21"/>
  <c r="K39" i="21"/>
  <c r="F92" i="21"/>
  <c r="E125" i="10"/>
  <c r="G22" i="21"/>
  <c r="K22" i="21"/>
  <c r="G23" i="21"/>
  <c r="K23" i="21"/>
  <c r="O76" i="21"/>
  <c r="G30" i="21"/>
  <c r="K30" i="21"/>
  <c r="G74" i="21"/>
  <c r="K74" i="21"/>
  <c r="O72" i="21"/>
  <c r="E126" i="10"/>
  <c r="F83" i="12"/>
  <c r="F93" i="12"/>
  <c r="F85" i="14"/>
  <c r="F87" i="14"/>
  <c r="M76" i="21"/>
  <c r="G88" i="21"/>
  <c r="K88" i="21"/>
  <c r="F88" i="21"/>
  <c r="E148" i="10"/>
  <c r="F94" i="12"/>
  <c r="G80" i="21"/>
  <c r="K80" i="21"/>
  <c r="E175" i="10"/>
  <c r="E131" i="10"/>
  <c r="G18" i="21"/>
  <c r="K18" i="21"/>
  <c r="G44" i="21"/>
  <c r="K44" i="21"/>
  <c r="E141" i="10"/>
  <c r="N82" i="21"/>
  <c r="P12" i="13"/>
  <c r="P10" i="13"/>
  <c r="L40" i="21"/>
  <c r="L7" i="21"/>
  <c r="F80" i="21"/>
  <c r="L67" i="21"/>
  <c r="P67" i="21"/>
  <c r="L92" i="21"/>
  <c r="L37" i="21"/>
  <c r="L88" i="21"/>
  <c r="L82" i="21"/>
  <c r="L33" i="21"/>
  <c r="L81" i="21"/>
  <c r="L93" i="21"/>
  <c r="L27" i="21"/>
  <c r="L79" i="21"/>
  <c r="L57" i="21"/>
  <c r="L80" i="21"/>
  <c r="L29" i="21"/>
  <c r="L91" i="21"/>
  <c r="L49" i="21"/>
  <c r="L90" i="21"/>
  <c r="L58" i="21"/>
  <c r="L76" i="21"/>
  <c r="L21" i="21"/>
  <c r="L53" i="21"/>
  <c r="L45" i="21"/>
  <c r="L43" i="21"/>
  <c r="L30" i="21"/>
  <c r="L60" i="21"/>
  <c r="L20" i="21"/>
  <c r="F85" i="21"/>
  <c r="F87" i="21"/>
  <c r="F90" i="21"/>
  <c r="L52" i="21"/>
  <c r="L73" i="21"/>
  <c r="L39" i="21"/>
  <c r="L23" i="21"/>
  <c r="L75" i="21"/>
  <c r="L42" i="21"/>
  <c r="L71" i="21"/>
  <c r="L36" i="21"/>
  <c r="L34" i="21"/>
  <c r="Q34" i="21"/>
  <c r="F68" i="21"/>
  <c r="F86" i="21"/>
  <c r="L54" i="21"/>
  <c r="L41" i="21"/>
  <c r="F83" i="21"/>
  <c r="L25" i="21"/>
  <c r="L72" i="21"/>
  <c r="L74" i="21"/>
  <c r="L38" i="21"/>
  <c r="L32" i="21"/>
  <c r="L50" i="21"/>
  <c r="L28" i="21"/>
  <c r="L48" i="21"/>
  <c r="F69" i="21"/>
  <c r="F71" i="21"/>
  <c r="F73" i="21"/>
  <c r="L44" i="21"/>
  <c r="F91" i="21"/>
  <c r="L17" i="21"/>
  <c r="L86" i="21"/>
  <c r="L87" i="21"/>
  <c r="L26" i="21"/>
  <c r="L35" i="21"/>
  <c r="L85" i="21"/>
  <c r="L56" i="21"/>
  <c r="P91" i="21"/>
  <c r="Q91" i="21"/>
  <c r="L73" i="25"/>
  <c r="L106" i="25"/>
  <c r="L31" i="14"/>
  <c r="L29" i="14"/>
  <c r="L57" i="14"/>
  <c r="L40" i="14"/>
  <c r="F88" i="14"/>
  <c r="L55" i="14"/>
  <c r="L58" i="14"/>
  <c r="L63" i="14"/>
  <c r="F96" i="14"/>
  <c r="L48" i="14"/>
  <c r="F92" i="14"/>
  <c r="L20" i="14"/>
  <c r="L60" i="14"/>
  <c r="L18" i="14"/>
  <c r="L27" i="14"/>
  <c r="L45" i="14"/>
  <c r="L43" i="14"/>
  <c r="L92" i="14"/>
  <c r="L84" i="14"/>
  <c r="L97" i="14"/>
  <c r="P97" i="14"/>
  <c r="Q97" i="14"/>
  <c r="L79" i="14"/>
  <c r="L26" i="14"/>
  <c r="L44" i="14"/>
  <c r="L98" i="14"/>
  <c r="L19" i="14"/>
  <c r="L21" i="14"/>
  <c r="L28" i="14"/>
  <c r="L41" i="14"/>
  <c r="L76" i="14"/>
  <c r="L95" i="14"/>
  <c r="P95" i="14"/>
  <c r="Q95" i="14"/>
  <c r="L86" i="14"/>
  <c r="L24" i="14"/>
  <c r="L64" i="14"/>
  <c r="L49" i="14"/>
  <c r="L30" i="14"/>
  <c r="L54" i="14"/>
  <c r="L36" i="14"/>
  <c r="L34" i="14"/>
  <c r="L56" i="14"/>
  <c r="L37" i="14"/>
  <c r="L61" i="14"/>
  <c r="L12" i="14"/>
  <c r="P12" i="14"/>
  <c r="L11" i="14"/>
  <c r="P11" i="14"/>
  <c r="L10" i="14"/>
  <c r="P10" i="14"/>
  <c r="L33" i="14"/>
  <c r="L96" i="14"/>
  <c r="P96" i="14"/>
  <c r="Q96" i="14"/>
  <c r="L85" i="14"/>
  <c r="P85" i="14"/>
  <c r="L90" i="14"/>
  <c r="L81" i="14"/>
  <c r="L88" i="14"/>
  <c r="L53" i="14"/>
  <c r="L35" i="14"/>
  <c r="L62" i="14"/>
  <c r="L38" i="14"/>
  <c r="L87" i="14"/>
  <c r="L93" i="14"/>
  <c r="L77" i="14"/>
  <c r="L91" i="14"/>
  <c r="L32" i="14"/>
  <c r="L22" i="14"/>
  <c r="L42" i="14"/>
  <c r="L25" i="14"/>
  <c r="L39" i="14"/>
  <c r="E142" i="10"/>
  <c r="G79" i="21"/>
  <c r="K79" i="21"/>
  <c r="M87" i="21"/>
  <c r="N93" i="21"/>
  <c r="E147" i="10"/>
  <c r="G87" i="21"/>
  <c r="K87" i="21"/>
  <c r="G83" i="21"/>
  <c r="K83" i="21"/>
  <c r="N88" i="21"/>
  <c r="M75" i="21"/>
  <c r="G52" i="22"/>
  <c r="G50" i="25"/>
  <c r="E174" i="10"/>
  <c r="O88" i="21"/>
  <c r="F86" i="14"/>
  <c r="F95" i="14"/>
  <c r="F57" i="21"/>
  <c r="M86" i="21"/>
  <c r="G76" i="21"/>
  <c r="K76" i="21"/>
  <c r="G50" i="21"/>
  <c r="K50" i="21"/>
  <c r="F82" i="12"/>
  <c r="F84" i="12"/>
  <c r="F87" i="12"/>
  <c r="P90" i="21"/>
  <c r="Q90" i="21"/>
  <c r="E130" i="10"/>
  <c r="E173" i="10"/>
  <c r="E150" i="10"/>
  <c r="E160" i="10"/>
  <c r="E137" i="10"/>
  <c r="E172" i="10"/>
  <c r="P92" i="21"/>
  <c r="Q92" i="21"/>
  <c r="L26" i="12"/>
  <c r="L49" i="12"/>
  <c r="L58" i="12"/>
  <c r="L27" i="12"/>
  <c r="L43" i="12"/>
  <c r="L50" i="12"/>
  <c r="L48" i="12"/>
  <c r="L77" i="12"/>
  <c r="L20" i="12"/>
  <c r="L85" i="12"/>
  <c r="F89" i="12"/>
  <c r="F92" i="12"/>
  <c r="L39" i="12"/>
  <c r="L29" i="12"/>
  <c r="F95" i="12"/>
  <c r="L60" i="12"/>
  <c r="L87" i="12"/>
  <c r="L42" i="12"/>
  <c r="L24" i="12"/>
  <c r="L33" i="12"/>
  <c r="L30" i="12"/>
  <c r="L52" i="12"/>
  <c r="L53" i="12"/>
  <c r="L45" i="12"/>
  <c r="L51" i="12"/>
  <c r="L92" i="12"/>
  <c r="P92" i="12"/>
  <c r="Q92" i="12"/>
  <c r="L93" i="12"/>
  <c r="P93" i="12"/>
  <c r="Q93" i="12"/>
  <c r="L76" i="12"/>
  <c r="L37" i="12"/>
  <c r="L36" i="12"/>
  <c r="L34" i="12"/>
  <c r="L78" i="12"/>
  <c r="L28" i="12"/>
  <c r="L19" i="12"/>
  <c r="L83" i="12"/>
  <c r="L73" i="12"/>
  <c r="L88" i="12"/>
  <c r="L81" i="12"/>
  <c r="L21" i="12"/>
  <c r="L35" i="12"/>
  <c r="L57" i="12"/>
  <c r="L54" i="12"/>
  <c r="L44" i="12"/>
  <c r="L90" i="12"/>
  <c r="L55" i="12"/>
  <c r="L82" i="12"/>
  <c r="L25" i="12"/>
  <c r="L31" i="12"/>
  <c r="L40" i="12"/>
  <c r="L32" i="12"/>
  <c r="L61" i="12"/>
  <c r="L94" i="12"/>
  <c r="P94" i="12"/>
  <c r="Q94" i="12"/>
  <c r="L74" i="12"/>
  <c r="L22" i="12"/>
  <c r="L41" i="12"/>
  <c r="L59" i="12"/>
  <c r="P10" i="23"/>
  <c r="Q23" i="25"/>
  <c r="F24" i="21"/>
  <c r="F32" i="21"/>
  <c r="F40" i="21"/>
  <c r="F45" i="21"/>
  <c r="F27" i="21"/>
  <c r="F35" i="21"/>
  <c r="Q101" i="25"/>
  <c r="Q80" i="25"/>
  <c r="S157" i="10"/>
  <c r="F28" i="21"/>
  <c r="F36" i="21"/>
  <c r="F48" i="21"/>
  <c r="Q88" i="25"/>
  <c r="Q91" i="25"/>
  <c r="F23" i="21"/>
  <c r="F31" i="21"/>
  <c r="F39" i="21"/>
  <c r="F44" i="21"/>
  <c r="F51" i="21"/>
  <c r="F21" i="21"/>
  <c r="F29" i="21"/>
  <c r="F37" i="21"/>
  <c r="Q99" i="25"/>
  <c r="Q20" i="25"/>
  <c r="Q32" i="25"/>
  <c r="Q79" i="25"/>
  <c r="Q53" i="25"/>
  <c r="O85" i="21"/>
  <c r="N86" i="21"/>
  <c r="N80" i="21"/>
  <c r="M80" i="21"/>
  <c r="G86" i="21"/>
  <c r="K86" i="21"/>
  <c r="N81" i="21"/>
  <c r="E140" i="10"/>
  <c r="G82" i="21"/>
  <c r="K82" i="21"/>
  <c r="F18" i="21"/>
  <c r="D20" i="21"/>
  <c r="F20" i="21"/>
  <c r="N87" i="21"/>
  <c r="G85" i="21"/>
  <c r="K85" i="21"/>
  <c r="N85" i="21"/>
  <c r="E151" i="10"/>
  <c r="M88" i="21"/>
  <c r="G93" i="21"/>
  <c r="K93" i="21"/>
  <c r="E139" i="10"/>
  <c r="O87" i="21"/>
  <c r="E138" i="10"/>
  <c r="E136" i="10"/>
  <c r="O86" i="21"/>
  <c r="F26" i="21"/>
  <c r="F34" i="21"/>
  <c r="F70" i="21"/>
  <c r="F72" i="21"/>
  <c r="Q27" i="21"/>
  <c r="F74" i="21"/>
  <c r="F76" i="21"/>
  <c r="F82" i="21"/>
  <c r="F42" i="21"/>
  <c r="F49" i="21"/>
  <c r="F17" i="21"/>
  <c r="F19" i="21"/>
  <c r="F25" i="21"/>
  <c r="F33" i="21"/>
  <c r="F41" i="21"/>
  <c r="G21" i="21"/>
  <c r="K21" i="21"/>
  <c r="Q45" i="25"/>
  <c r="Q30" i="25"/>
  <c r="Q84" i="25"/>
  <c r="Q81" i="25"/>
  <c r="Q24" i="25"/>
  <c r="Q87" i="25"/>
  <c r="Q39" i="25"/>
  <c r="Q17" i="25"/>
  <c r="Q93" i="25"/>
  <c r="Q21" i="25"/>
  <c r="Q55" i="25"/>
  <c r="Q23" i="22"/>
  <c r="Q54" i="25"/>
  <c r="Q27" i="25"/>
  <c r="Q82" i="25"/>
  <c r="Q18" i="25"/>
  <c r="Q22" i="25"/>
  <c r="S158" i="10"/>
  <c r="R158" i="10"/>
  <c r="Q158" i="10"/>
  <c r="Q159" i="10"/>
  <c r="S159" i="10"/>
  <c r="F30" i="21"/>
  <c r="F22" i="21"/>
  <c r="F38" i="21"/>
  <c r="F50" i="21"/>
  <c r="R157" i="10"/>
  <c r="Q25" i="22"/>
  <c r="Q57" i="21"/>
  <c r="Q38" i="25"/>
  <c r="M128" i="15"/>
  <c r="Q44" i="25"/>
  <c r="Y21" i="16"/>
  <c r="Q17" i="16"/>
  <c r="Q27" i="16"/>
  <c r="K128" i="15"/>
  <c r="Q83" i="15"/>
  <c r="N128" i="15"/>
  <c r="O128" i="15"/>
  <c r="P73" i="21"/>
  <c r="Q73" i="21"/>
  <c r="Q35" i="21"/>
  <c r="Y87" i="15"/>
  <c r="Y76" i="15"/>
  <c r="Q60" i="25"/>
  <c r="Q24" i="22"/>
  <c r="Q21" i="15"/>
  <c r="Q27" i="22"/>
  <c r="Q19" i="15"/>
  <c r="Q58" i="25"/>
  <c r="Q92" i="22"/>
  <c r="Q31" i="25"/>
  <c r="Q75" i="13"/>
  <c r="Q36" i="15"/>
  <c r="Q32" i="15"/>
  <c r="Q35" i="12"/>
  <c r="Q74" i="13"/>
  <c r="Q38" i="21"/>
  <c r="Q24" i="21"/>
  <c r="Q35" i="25"/>
  <c r="Q61" i="16"/>
  <c r="P85" i="12"/>
  <c r="Q85" i="12"/>
  <c r="Q51" i="21"/>
  <c r="Y84" i="22"/>
  <c r="P84" i="12"/>
  <c r="Q84" i="12"/>
  <c r="Q32" i="21"/>
  <c r="P81" i="12"/>
  <c r="Q81" i="12"/>
  <c r="Q84" i="22"/>
  <c r="Q93" i="22"/>
  <c r="Y93" i="22"/>
  <c r="Q34" i="15"/>
  <c r="Q42" i="16"/>
  <c r="Q27" i="15"/>
  <c r="Q25" i="21"/>
  <c r="Q83" i="22"/>
  <c r="Q42" i="15"/>
  <c r="Q31" i="21"/>
  <c r="Q52" i="22"/>
  <c r="Q41" i="25"/>
  <c r="Q19" i="21"/>
  <c r="P83" i="21"/>
  <c r="Q83" i="21"/>
  <c r="Q33" i="25"/>
  <c r="P77" i="14"/>
  <c r="Q77" i="14"/>
  <c r="Q35" i="16"/>
  <c r="Q34" i="13"/>
  <c r="P76" i="21"/>
  <c r="Q76" i="21"/>
  <c r="P81" i="21"/>
  <c r="Q81" i="21"/>
  <c r="Q40" i="14"/>
  <c r="Q26" i="13"/>
  <c r="Q26" i="15"/>
  <c r="Q33" i="21"/>
  <c r="Q56" i="25"/>
  <c r="Q35" i="15"/>
  <c r="Q48" i="21"/>
  <c r="Q28" i="15"/>
  <c r="Q26" i="21"/>
  <c r="M95" i="21"/>
  <c r="P76" i="14"/>
  <c r="Q76" i="14"/>
  <c r="Q24" i="12"/>
  <c r="Q25" i="12"/>
  <c r="P74" i="21"/>
  <c r="Q74" i="21"/>
  <c r="Q32" i="12"/>
  <c r="Q29" i="21"/>
  <c r="Q28" i="21"/>
  <c r="Q20" i="21"/>
  <c r="Q29" i="15"/>
  <c r="Q43" i="22"/>
  <c r="Q49" i="22"/>
  <c r="Q37" i="21"/>
  <c r="Q64" i="15"/>
  <c r="Q45" i="22"/>
  <c r="Q34" i="12"/>
  <c r="Q46" i="22"/>
  <c r="Q21" i="21"/>
  <c r="Q36" i="21"/>
  <c r="Q22" i="15"/>
  <c r="Q40" i="25"/>
  <c r="Q34" i="16"/>
  <c r="E149" i="10"/>
  <c r="Q39" i="22"/>
  <c r="P95" i="12"/>
  <c r="Q95" i="12"/>
  <c r="Q69" i="21"/>
  <c r="P79" i="21"/>
  <c r="Q79" i="21"/>
  <c r="Q28" i="25"/>
  <c r="Q29" i="16"/>
  <c r="Q41" i="22"/>
  <c r="Q33" i="12"/>
  <c r="Q36" i="16"/>
  <c r="Q18" i="13"/>
  <c r="Q33" i="16"/>
  <c r="Q40" i="16"/>
  <c r="Q34" i="14"/>
  <c r="Q59" i="12"/>
  <c r="Q38" i="22"/>
  <c r="Q33" i="15"/>
  <c r="Q47" i="13"/>
  <c r="P72" i="21"/>
  <c r="Q72" i="21"/>
  <c r="Q30" i="12"/>
  <c r="Q42" i="22"/>
  <c r="Q68" i="21"/>
  <c r="Q46" i="15"/>
  <c r="Q26" i="25"/>
  <c r="Q31" i="12"/>
  <c r="Q41" i="13"/>
  <c r="Q27" i="13"/>
  <c r="Q72" i="22"/>
  <c r="Q34" i="22"/>
  <c r="Q24" i="14"/>
  <c r="Q50" i="21"/>
  <c r="Q44" i="21"/>
  <c r="Q38" i="12"/>
  <c r="Q62" i="13"/>
  <c r="Q50" i="16"/>
  <c r="Q28" i="16"/>
  <c r="Q31" i="22"/>
  <c r="Q28" i="13"/>
  <c r="Q30" i="16"/>
  <c r="Q42" i="21"/>
  <c r="Q40" i="15"/>
  <c r="Q43" i="25"/>
  <c r="Q17" i="13"/>
  <c r="Q36" i="13"/>
  <c r="Q35" i="13"/>
  <c r="Q38" i="15"/>
  <c r="Q20" i="12"/>
  <c r="Q47" i="25"/>
  <c r="Q47" i="15"/>
  <c r="Q24" i="13"/>
  <c r="Q38" i="16"/>
  <c r="Q36" i="25"/>
  <c r="Q42" i="12"/>
  <c r="Q62" i="14"/>
  <c r="Q36" i="12"/>
  <c r="Q36" i="22"/>
  <c r="P82" i="12"/>
  <c r="Q82" i="12"/>
  <c r="Q29" i="12"/>
  <c r="Q37" i="16"/>
  <c r="P71" i="21"/>
  <c r="Q71" i="21"/>
  <c r="Q37" i="15"/>
  <c r="Q27" i="12"/>
  <c r="Q21" i="13"/>
  <c r="P82" i="21"/>
  <c r="Q82" i="21"/>
  <c r="Q27" i="14"/>
  <c r="Q29" i="25"/>
  <c r="Q37" i="13"/>
  <c r="Q18" i="21"/>
  <c r="Q17" i="21"/>
  <c r="Q39" i="14"/>
  <c r="Q35" i="14"/>
  <c r="Q33" i="14"/>
  <c r="Q29" i="14"/>
  <c r="Q36" i="14"/>
  <c r="P88" i="14"/>
  <c r="Q88" i="14"/>
  <c r="P84" i="14"/>
  <c r="Q84" i="14"/>
  <c r="Q20" i="14"/>
  <c r="Q31" i="14"/>
  <c r="P81" i="14"/>
  <c r="Q81" i="14"/>
  <c r="Q45" i="14"/>
  <c r="Q38" i="13"/>
  <c r="Q31" i="16"/>
  <c r="Q26" i="16"/>
  <c r="Q39" i="15"/>
  <c r="Q39" i="16"/>
  <c r="Q30" i="21"/>
  <c r="Q37" i="12"/>
  <c r="Q23" i="21"/>
  <c r="Q22" i="21"/>
  <c r="Q32" i="16"/>
  <c r="Q41" i="16"/>
  <c r="Q28" i="22"/>
  <c r="Q22" i="16"/>
  <c r="Q24" i="15"/>
  <c r="Q18" i="15"/>
  <c r="Q44" i="22"/>
  <c r="P76" i="12"/>
  <c r="Q76" i="12"/>
  <c r="Q26" i="22"/>
  <c r="Q37" i="22"/>
  <c r="Q42" i="25"/>
  <c r="Q46" i="16"/>
  <c r="Q22" i="12"/>
  <c r="Q37" i="14"/>
  <c r="Q41" i="15"/>
  <c r="Q40" i="22"/>
  <c r="P78" i="12"/>
  <c r="Q78" i="12"/>
  <c r="Q34" i="25"/>
  <c r="Q70" i="12"/>
  <c r="Q25" i="14"/>
  <c r="P93" i="14"/>
  <c r="Q93" i="14"/>
  <c r="Q50" i="25"/>
  <c r="Q32" i="13"/>
  <c r="Q68" i="25"/>
  <c r="P90" i="12"/>
  <c r="Q90" i="12"/>
  <c r="O95" i="21"/>
  <c r="Q25" i="13"/>
  <c r="P89" i="12"/>
  <c r="Q89" i="12"/>
  <c r="Q98" i="25"/>
  <c r="Q30" i="13"/>
  <c r="P74" i="12"/>
  <c r="Q74" i="12"/>
  <c r="Q39" i="13"/>
  <c r="Q29" i="13"/>
  <c r="P75" i="21"/>
  <c r="Q75" i="21"/>
  <c r="L95" i="21"/>
  <c r="P88" i="21"/>
  <c r="Q88" i="21"/>
  <c r="P85" i="21"/>
  <c r="Q85" i="21"/>
  <c r="P87" i="21"/>
  <c r="Q87" i="21"/>
  <c r="Q70" i="21"/>
  <c r="N95" i="21"/>
  <c r="Q42" i="13"/>
  <c r="Q31" i="13"/>
  <c r="Q47" i="22"/>
  <c r="Q17" i="15"/>
  <c r="Q31" i="15"/>
  <c r="Q30" i="15"/>
  <c r="Q24" i="16"/>
  <c r="Q20" i="16"/>
  <c r="Q47" i="16"/>
  <c r="Q18" i="16"/>
  <c r="Q25" i="16"/>
  <c r="Q18" i="12"/>
  <c r="Q26" i="14"/>
  <c r="Q29" i="22"/>
  <c r="Q49" i="21"/>
  <c r="Q23" i="13"/>
  <c r="Q20" i="15"/>
  <c r="P86" i="14"/>
  <c r="Q86" i="14"/>
  <c r="Q30" i="14"/>
  <c r="P98" i="14"/>
  <c r="Q98" i="14"/>
  <c r="P79" i="14"/>
  <c r="Q79" i="14"/>
  <c r="P87" i="14"/>
  <c r="Q87" i="14"/>
  <c r="Q44" i="14"/>
  <c r="Q85" i="14"/>
  <c r="Q26" i="12"/>
  <c r="Q33" i="22"/>
  <c r="Q28" i="14"/>
  <c r="Q33" i="13"/>
  <c r="Q18" i="14"/>
  <c r="K95" i="21"/>
  <c r="Q71" i="12"/>
  <c r="Q22" i="14"/>
  <c r="Q49" i="25"/>
  <c r="Q28" i="12"/>
  <c r="P80" i="14"/>
  <c r="Q80" i="14"/>
  <c r="P73" i="12"/>
  <c r="Q73" i="12"/>
  <c r="P93" i="21"/>
  <c r="Q93" i="21"/>
  <c r="P87" i="12"/>
  <c r="Q87" i="12"/>
  <c r="P83" i="12"/>
  <c r="Q83" i="12"/>
  <c r="P88" i="12"/>
  <c r="Q88" i="12"/>
  <c r="P77" i="12"/>
  <c r="Q77" i="12"/>
  <c r="Q37" i="25"/>
  <c r="Q21" i="12"/>
  <c r="Q19" i="12"/>
  <c r="Q51" i="22"/>
  <c r="Q35" i="22"/>
  <c r="Q23" i="15"/>
  <c r="K122" i="25"/>
  <c r="K123" i="25"/>
  <c r="Q40" i="13"/>
  <c r="Q57" i="25"/>
  <c r="K125" i="25"/>
  <c r="Q73" i="14"/>
  <c r="Q32" i="14"/>
  <c r="N138" i="25"/>
  <c r="L138" i="25"/>
  <c r="L136" i="25"/>
  <c r="L137" i="25"/>
  <c r="O138" i="25"/>
  <c r="N136" i="25"/>
  <c r="N135" i="25"/>
  <c r="O135" i="25"/>
  <c r="M138" i="25"/>
  <c r="K136" i="25"/>
  <c r="L135" i="25"/>
  <c r="O136" i="25"/>
  <c r="K137" i="25"/>
  <c r="M135" i="25"/>
  <c r="K138" i="25"/>
  <c r="N137" i="25"/>
  <c r="O137" i="25"/>
  <c r="M136" i="25"/>
  <c r="K135" i="25"/>
  <c r="M137" i="25"/>
  <c r="Q38" i="14"/>
  <c r="Q75" i="14"/>
  <c r="Q23" i="16"/>
  <c r="Q22" i="13"/>
  <c r="P92" i="14"/>
  <c r="Q92" i="14"/>
  <c r="P91" i="14"/>
  <c r="Q91" i="14"/>
  <c r="P80" i="21"/>
  <c r="Q80" i="21"/>
  <c r="O124" i="25"/>
  <c r="Q25" i="25"/>
  <c r="Q21" i="14"/>
  <c r="Q74" i="14"/>
  <c r="P90" i="14"/>
  <c r="Q90" i="14"/>
  <c r="Q32" i="22"/>
  <c r="P86" i="21"/>
  <c r="Q86" i="21"/>
  <c r="O123" i="25"/>
  <c r="Q85" i="22"/>
  <c r="M131" i="25"/>
  <c r="K131" i="25"/>
  <c r="N131" i="25"/>
  <c r="L131" i="25"/>
  <c r="L130" i="25"/>
  <c r="O131" i="25"/>
  <c r="M130" i="25"/>
  <c r="O132" i="25"/>
  <c r="K132" i="25"/>
  <c r="L132" i="25"/>
  <c r="K130" i="25"/>
  <c r="O129" i="25"/>
  <c r="N129" i="25"/>
  <c r="K129" i="25"/>
  <c r="N130" i="25"/>
  <c r="M129" i="25"/>
  <c r="L129" i="25"/>
  <c r="O130" i="25"/>
  <c r="M132" i="25"/>
  <c r="N132" i="25"/>
  <c r="Q100" i="25"/>
  <c r="O126" i="25"/>
  <c r="Q83" i="25"/>
  <c r="O125" i="25"/>
  <c r="Q19" i="25"/>
  <c r="Q25" i="15"/>
  <c r="Q30" i="22"/>
  <c r="Q85" i="15"/>
  <c r="Q76" i="15"/>
  <c r="N126" i="12"/>
  <c r="N129" i="14"/>
  <c r="P139" i="25"/>
  <c r="M107" i="16"/>
  <c r="P102" i="25"/>
  <c r="P104" i="25"/>
  <c r="N124" i="21"/>
  <c r="P95" i="21"/>
  <c r="O129" i="14"/>
  <c r="M124" i="21"/>
  <c r="O98" i="21"/>
  <c r="N98" i="21"/>
  <c r="Q62" i="21"/>
  <c r="M7" i="21"/>
  <c r="M129" i="14"/>
  <c r="O126" i="12"/>
  <c r="I75" i="19"/>
  <c r="O107" i="16"/>
  <c r="O146" i="23"/>
  <c r="N140" i="24"/>
  <c r="K140" i="24"/>
  <c r="M140" i="24"/>
  <c r="O140" i="24"/>
  <c r="K133" i="22"/>
  <c r="Q73" i="25"/>
  <c r="N133" i="22"/>
  <c r="N139" i="25"/>
  <c r="N140" i="25"/>
  <c r="O133" i="22"/>
  <c r="K98" i="21"/>
  <c r="K139" i="25"/>
  <c r="K140" i="25"/>
  <c r="M133" i="22"/>
  <c r="M115" i="25"/>
  <c r="L139" i="25"/>
  <c r="L140" i="25"/>
  <c r="K124" i="21"/>
  <c r="M139" i="25"/>
  <c r="M140" i="25"/>
  <c r="Q72" i="12"/>
  <c r="O124" i="21"/>
  <c r="K126" i="12"/>
  <c r="O139" i="25"/>
  <c r="O140" i="25"/>
  <c r="L133" i="25"/>
  <c r="L134" i="25"/>
  <c r="N146" i="23"/>
  <c r="M126" i="12"/>
  <c r="K146" i="23"/>
  <c r="K129" i="14"/>
  <c r="M146" i="23"/>
  <c r="L124" i="21"/>
  <c r="M133" i="25"/>
  <c r="M134" i="25"/>
  <c r="O122" i="25"/>
  <c r="O127" i="25"/>
  <c r="O128" i="25"/>
  <c r="O115" i="25"/>
  <c r="K133" i="25"/>
  <c r="K134" i="25"/>
  <c r="N115" i="25"/>
  <c r="Q19" i="13"/>
  <c r="L115" i="25"/>
  <c r="N133" i="25"/>
  <c r="N134" i="25"/>
  <c r="K126" i="25"/>
  <c r="O133" i="25"/>
  <c r="O134" i="25"/>
  <c r="Q19" i="14"/>
  <c r="K124" i="25"/>
  <c r="K115" i="25"/>
  <c r="I83" i="19"/>
  <c r="K73" i="19"/>
  <c r="Q21" i="16"/>
  <c r="L128" i="15"/>
  <c r="K107" i="16"/>
  <c r="Q87" i="15"/>
  <c r="L133" i="22"/>
  <c r="P133" i="22"/>
  <c r="P97" i="22"/>
  <c r="L108" i="13"/>
  <c r="N108" i="13"/>
  <c r="M108" i="13"/>
  <c r="O108" i="13"/>
  <c r="K108" i="13"/>
  <c r="L11" i="21"/>
  <c r="P140" i="25"/>
  <c r="N122" i="25"/>
  <c r="P106" i="25"/>
  <c r="K127" i="25"/>
  <c r="K128" i="25"/>
  <c r="P124" i="21"/>
  <c r="P7" i="15"/>
  <c r="P11" i="12"/>
  <c r="P7" i="21"/>
  <c r="P11" i="16"/>
  <c r="P128" i="15"/>
  <c r="P108" i="13"/>
  <c r="P11" i="21"/>
  <c r="P98" i="21"/>
  <c r="P7" i="16"/>
  <c r="M126" i="25"/>
  <c r="L122" i="25"/>
  <c r="P11" i="15"/>
  <c r="M122" i="25"/>
  <c r="L125" i="25"/>
  <c r="M123" i="25"/>
  <c r="N123" i="25"/>
  <c r="L126" i="25"/>
  <c r="N126" i="25"/>
  <c r="M125" i="25"/>
  <c r="N124" i="25"/>
  <c r="M124" i="25"/>
  <c r="N125" i="25"/>
  <c r="P7" i="13"/>
  <c r="P11" i="13"/>
  <c r="M98" i="21"/>
  <c r="L98" i="21"/>
  <c r="H75" i="19"/>
  <c r="N107" i="16"/>
  <c r="Q72" i="16"/>
  <c r="P96" i="15"/>
  <c r="P17" i="19"/>
  <c r="Q17" i="19"/>
  <c r="P18" i="19"/>
  <c r="Q18" i="19"/>
  <c r="M127" i="25"/>
  <c r="M128" i="25"/>
  <c r="D41" i="19"/>
  <c r="M121" i="25"/>
  <c r="L123" i="25"/>
  <c r="L121" i="25"/>
  <c r="N127" i="25"/>
  <c r="N128" i="25"/>
  <c r="L124" i="25"/>
  <c r="N121" i="25"/>
  <c r="H83" i="19"/>
  <c r="P24" i="19"/>
  <c r="Q24" i="19"/>
  <c r="P23" i="19"/>
  <c r="Q23" i="19"/>
  <c r="L127" i="25"/>
  <c r="L128" i="25"/>
  <c r="P121" i="25"/>
  <c r="P41" i="19"/>
  <c r="Q41" i="19"/>
  <c r="P44" i="19"/>
  <c r="P45" i="19"/>
  <c r="P46" i="19"/>
  <c r="D53" i="19"/>
  <c r="R53" i="19"/>
  <c r="P43" i="19"/>
  <c r="P48" i="19"/>
  <c r="Q48" i="19"/>
  <c r="P36" i="19"/>
  <c r="Q36" i="19"/>
  <c r="P29" i="19"/>
  <c r="Q29" i="19"/>
  <c r="P5" i="19"/>
  <c r="D60" i="19"/>
  <c r="R60" i="19"/>
  <c r="Q5" i="19"/>
  <c r="P12" i="19"/>
  <c r="Q12" i="19"/>
  <c r="Q60" i="19"/>
  <c r="Q53" i="19"/>
  <c r="P81" i="13"/>
  <c r="K72" i="19"/>
  <c r="E75" i="19"/>
  <c r="E83" i="19"/>
  <c r="D47" i="19"/>
  <c r="L50" i="19"/>
  <c r="J8" i="5"/>
  <c r="I50" i="19"/>
  <c r="G8" i="5"/>
  <c r="N50" i="19"/>
  <c r="L8" i="5"/>
  <c r="M50" i="19"/>
  <c r="K8" i="5"/>
  <c r="H50" i="19"/>
  <c r="F8" i="5"/>
  <c r="E19" i="5"/>
  <c r="J50" i="19"/>
  <c r="H8" i="5"/>
  <c r="O50" i="19"/>
  <c r="M8" i="5"/>
  <c r="K50" i="19"/>
  <c r="I8" i="5"/>
  <c r="G19" i="5"/>
  <c r="H19" i="5"/>
  <c r="F19" i="5"/>
  <c r="P47" i="19"/>
  <c r="E50" i="19"/>
  <c r="C8" i="5"/>
  <c r="C19" i="5"/>
  <c r="P35" i="19"/>
  <c r="Q35" i="19"/>
  <c r="D59" i="19"/>
  <c r="R59" i="19"/>
  <c r="Q47" i="19"/>
  <c r="P11" i="19"/>
  <c r="Q11" i="19"/>
  <c r="Q59" i="19"/>
  <c r="P7" i="22"/>
  <c r="L17" i="22"/>
  <c r="L99" i="22"/>
  <c r="F67" i="19"/>
  <c r="J67" i="19"/>
  <c r="D54" i="19"/>
  <c r="P99" i="22"/>
  <c r="R54" i="19"/>
  <c r="P30" i="19"/>
  <c r="Q30" i="19"/>
  <c r="P42" i="19"/>
  <c r="Q42" i="19"/>
  <c r="P6" i="19"/>
  <c r="Q6" i="19"/>
  <c r="Q54" i="19"/>
  <c r="K67" i="19"/>
  <c r="Q17" i="22"/>
  <c r="L18" i="23"/>
  <c r="L19" i="23"/>
  <c r="L20" i="23"/>
  <c r="L21" i="23"/>
  <c r="L22" i="23"/>
  <c r="L23" i="23"/>
  <c r="L24" i="23"/>
  <c r="L25" i="23"/>
  <c r="L26" i="23"/>
  <c r="L27" i="23"/>
  <c r="L28" i="23"/>
  <c r="L29" i="23"/>
  <c r="L30" i="23"/>
  <c r="L31" i="23"/>
  <c r="L32" i="23"/>
  <c r="L33" i="23"/>
  <c r="L34" i="23"/>
  <c r="L35" i="23"/>
  <c r="L36" i="23"/>
  <c r="L37" i="23"/>
  <c r="L38" i="23"/>
  <c r="L39" i="23"/>
  <c r="L40" i="23"/>
  <c r="L41" i="23"/>
  <c r="L42" i="23"/>
  <c r="L43" i="23"/>
  <c r="L44" i="23"/>
  <c r="L45" i="23"/>
  <c r="L46" i="23"/>
  <c r="L47" i="23"/>
  <c r="L48" i="23"/>
  <c r="L49" i="23"/>
  <c r="L50" i="23"/>
  <c r="L51" i="23"/>
  <c r="L52" i="23"/>
  <c r="L53" i="23"/>
  <c r="L55" i="23"/>
  <c r="L56" i="23"/>
  <c r="L59" i="23"/>
  <c r="L60" i="23"/>
  <c r="L61" i="23"/>
  <c r="L62" i="23"/>
  <c r="L63" i="23"/>
  <c r="L64" i="23"/>
  <c r="L65" i="23"/>
  <c r="L66" i="23"/>
  <c r="L67" i="23"/>
  <c r="L68" i="23"/>
  <c r="L69" i="23"/>
  <c r="L70" i="23"/>
  <c r="L72" i="23"/>
  <c r="L73" i="23"/>
  <c r="L74" i="23"/>
  <c r="L76" i="23"/>
  <c r="L77" i="23"/>
  <c r="L104" i="23"/>
  <c r="L105" i="23"/>
  <c r="L106" i="23"/>
  <c r="L107" i="23"/>
  <c r="L85" i="23"/>
  <c r="L86" i="23"/>
  <c r="L87" i="23"/>
  <c r="L88" i="23"/>
  <c r="L89" i="23"/>
  <c r="L90" i="23"/>
  <c r="L91" i="23"/>
  <c r="L93" i="23"/>
  <c r="L94" i="23"/>
  <c r="L96" i="23"/>
  <c r="L97" i="23"/>
  <c r="L99" i="23"/>
  <c r="L110" i="23"/>
  <c r="P19" i="19"/>
  <c r="P110" i="23"/>
  <c r="Q19" i="19"/>
  <c r="L146" i="23"/>
  <c r="Q104" i="23"/>
  <c r="P146" i="23"/>
  <c r="Q21" i="23"/>
  <c r="Q49" i="23"/>
  <c r="Q105" i="23"/>
  <c r="Q42" i="23"/>
  <c r="Q35" i="23"/>
  <c r="Q55" i="23"/>
  <c r="Q33" i="23"/>
  <c r="Q51" i="23"/>
  <c r="Q74" i="23"/>
  <c r="Q48" i="23"/>
  <c r="Q31" i="23"/>
  <c r="Q30" i="23"/>
  <c r="Q36" i="23"/>
  <c r="Q29" i="23"/>
  <c r="Q53" i="23"/>
  <c r="Q44" i="23"/>
  <c r="Q40" i="23"/>
  <c r="Q27" i="23"/>
  <c r="Q47" i="23"/>
  <c r="Q28" i="23"/>
  <c r="Q46" i="23"/>
  <c r="Q50" i="23"/>
  <c r="Q56" i="23"/>
  <c r="Q41" i="23"/>
  <c r="Q32" i="23"/>
  <c r="Q34" i="23"/>
  <c r="Q43" i="23"/>
  <c r="Q37" i="23"/>
  <c r="Q88" i="23"/>
  <c r="Q90" i="23"/>
  <c r="Q99" i="23"/>
  <c r="Q25" i="23"/>
  <c r="Q45" i="23"/>
  <c r="Q20" i="23"/>
  <c r="Q87" i="23"/>
  <c r="Q106" i="23"/>
  <c r="Q97" i="23"/>
  <c r="Q89" i="23"/>
  <c r="Q38" i="23"/>
  <c r="Q86" i="23"/>
  <c r="Q24" i="23"/>
  <c r="Q19" i="23"/>
  <c r="Q26" i="23"/>
  <c r="Q107" i="23"/>
  <c r="Q22" i="23"/>
  <c r="Q39" i="23"/>
  <c r="Q18" i="23"/>
  <c r="Q93" i="23"/>
  <c r="Q23" i="23"/>
  <c r="Q85" i="23"/>
  <c r="L17" i="23"/>
  <c r="L54" i="23"/>
  <c r="L7" i="23"/>
  <c r="P7" i="23"/>
  <c r="Q17" i="23"/>
  <c r="Q79" i="23"/>
  <c r="D43" i="19"/>
  <c r="D55" i="19"/>
  <c r="P112" i="23"/>
  <c r="R55" i="19"/>
  <c r="L112" i="23"/>
  <c r="F68" i="19"/>
  <c r="J68" i="19"/>
  <c r="P31" i="19"/>
  <c r="Q31" i="19"/>
  <c r="Q43" i="19"/>
  <c r="P7" i="19"/>
  <c r="Q7" i="19"/>
  <c r="Q55" i="19"/>
  <c r="K68" i="19"/>
  <c r="L7" i="24"/>
  <c r="L17" i="24"/>
  <c r="L18" i="24"/>
  <c r="L19" i="24"/>
  <c r="L20" i="24"/>
  <c r="L21" i="24"/>
  <c r="L22" i="24"/>
  <c r="L23" i="24"/>
  <c r="L24" i="24"/>
  <c r="L25" i="24"/>
  <c r="L26" i="24"/>
  <c r="L27" i="24"/>
  <c r="L28" i="24"/>
  <c r="L29" i="24"/>
  <c r="L30" i="24"/>
  <c r="L31" i="24"/>
  <c r="L32" i="24"/>
  <c r="L33" i="24"/>
  <c r="L34" i="24"/>
  <c r="L35" i="24"/>
  <c r="L36" i="24"/>
  <c r="L37" i="24"/>
  <c r="L38" i="24"/>
  <c r="L39" i="24"/>
  <c r="L40" i="24"/>
  <c r="L41" i="24"/>
  <c r="L42" i="24"/>
  <c r="L43" i="24"/>
  <c r="L44" i="24"/>
  <c r="L45" i="24"/>
  <c r="L46" i="24"/>
  <c r="L47" i="24"/>
  <c r="L48" i="24"/>
  <c r="L49" i="24"/>
  <c r="L50" i="24"/>
  <c r="L53" i="24"/>
  <c r="L54" i="24"/>
  <c r="L55" i="24"/>
  <c r="L56" i="24"/>
  <c r="L57" i="24"/>
  <c r="L58" i="24"/>
  <c r="L59" i="24"/>
  <c r="L60" i="24"/>
  <c r="L61" i="24"/>
  <c r="L62" i="24"/>
  <c r="L66" i="24"/>
  <c r="L67" i="24"/>
  <c r="L68" i="24"/>
  <c r="L70" i="24"/>
  <c r="L71" i="24"/>
  <c r="L98" i="24"/>
  <c r="L99" i="24"/>
  <c r="L100" i="24"/>
  <c r="L101" i="24"/>
  <c r="L79" i="24"/>
  <c r="L80" i="24"/>
  <c r="L81" i="24"/>
  <c r="L82" i="24"/>
  <c r="L83" i="24"/>
  <c r="L84" i="24"/>
  <c r="L85" i="24"/>
  <c r="L87" i="24"/>
  <c r="L88" i="24"/>
  <c r="L90" i="24"/>
  <c r="L91" i="24"/>
  <c r="L93" i="24"/>
  <c r="L104" i="24"/>
  <c r="L106" i="24"/>
  <c r="F69" i="19"/>
  <c r="K69" i="19"/>
  <c r="P8" i="19"/>
  <c r="P20" i="19"/>
  <c r="P32" i="19"/>
  <c r="D44" i="19"/>
  <c r="D56" i="19"/>
  <c r="Q56" i="19"/>
  <c r="Q8" i="19"/>
  <c r="Q44" i="19"/>
  <c r="Q32" i="19"/>
  <c r="J69" i="19"/>
  <c r="Q20" i="19"/>
  <c r="P7" i="24"/>
  <c r="P104" i="24"/>
  <c r="P106" i="24"/>
  <c r="R56" i="19"/>
  <c r="L140" i="24"/>
  <c r="Q73" i="24"/>
  <c r="P140" i="24"/>
  <c r="Q101" i="24"/>
  <c r="Q18" i="24"/>
  <c r="Q43" i="24"/>
  <c r="Q30" i="24"/>
  <c r="Q33" i="24"/>
  <c r="Q49" i="24"/>
  <c r="Q27" i="24"/>
  <c r="Q34" i="24"/>
  <c r="Q35" i="24"/>
  <c r="Q42" i="24"/>
  <c r="Q40" i="24"/>
  <c r="Q98" i="24"/>
  <c r="Q41" i="24"/>
  <c r="Q28" i="24"/>
  <c r="Q36" i="24"/>
  <c r="Q68" i="24"/>
  <c r="Q25" i="24"/>
  <c r="Q50" i="24"/>
  <c r="Q26" i="24"/>
  <c r="Q39" i="24"/>
  <c r="Q45" i="24"/>
  <c r="Q31" i="24"/>
  <c r="Q47" i="24"/>
  <c r="Q37" i="24"/>
  <c r="Q38" i="24"/>
  <c r="Q29" i="24"/>
  <c r="Q32" i="24"/>
  <c r="Q44" i="24"/>
  <c r="Q23" i="24"/>
  <c r="Q83" i="24"/>
  <c r="Q88" i="24"/>
  <c r="Q82" i="24"/>
  <c r="Q80" i="24"/>
  <c r="Q24" i="24"/>
  <c r="Q87" i="24"/>
  <c r="Q99" i="24"/>
  <c r="Q17" i="24"/>
  <c r="Q93" i="24"/>
  <c r="Q84" i="24"/>
  <c r="Q21" i="24"/>
  <c r="Q100" i="24"/>
  <c r="Q91" i="24"/>
  <c r="Q19" i="24"/>
  <c r="Q20" i="24"/>
  <c r="Q22" i="24"/>
  <c r="Q79" i="24"/>
  <c r="Q81" i="24"/>
  <c r="L72" i="14"/>
  <c r="L78" i="14"/>
  <c r="P21" i="19"/>
  <c r="Q21" i="19"/>
  <c r="L17" i="14"/>
  <c r="L23" i="14"/>
  <c r="L65" i="14"/>
  <c r="L7" i="14"/>
  <c r="L100" i="14"/>
  <c r="L103" i="14"/>
  <c r="F70" i="19"/>
  <c r="J70" i="19"/>
  <c r="P33" i="19"/>
  <c r="Q33" i="19"/>
  <c r="D45" i="19"/>
  <c r="Q45" i="19"/>
  <c r="P9" i="19"/>
  <c r="Q9" i="19"/>
  <c r="D57" i="19"/>
  <c r="Q57" i="19"/>
  <c r="K70" i="19"/>
  <c r="P7" i="14"/>
  <c r="P72" i="14"/>
  <c r="P78" i="14"/>
  <c r="P100" i="14"/>
  <c r="P103" i="14"/>
  <c r="R57" i="19"/>
  <c r="P129" i="14"/>
  <c r="L129" i="14"/>
  <c r="Q78" i="14"/>
  <c r="Q23" i="14"/>
  <c r="Q17" i="14"/>
  <c r="L7" i="12"/>
  <c r="L17" i="12"/>
  <c r="L23" i="12"/>
  <c r="L62" i="12"/>
  <c r="L69" i="12"/>
  <c r="L75" i="12"/>
  <c r="L97" i="12"/>
  <c r="L100" i="12"/>
  <c r="F71" i="19"/>
  <c r="K71" i="19"/>
  <c r="P10" i="19"/>
  <c r="P22" i="19"/>
  <c r="P34" i="19"/>
  <c r="D46" i="19"/>
  <c r="D58" i="19"/>
  <c r="Q58" i="19"/>
  <c r="Q10" i="19"/>
  <c r="Q46" i="19"/>
  <c r="Q34" i="19"/>
  <c r="J71" i="19"/>
  <c r="Q22" i="19"/>
  <c r="P7" i="12"/>
  <c r="P69" i="12"/>
  <c r="P75" i="12"/>
  <c r="P97" i="12"/>
  <c r="P100" i="12"/>
  <c r="R58" i="19"/>
  <c r="P126" i="12"/>
  <c r="L126" i="12"/>
  <c r="Q75" i="12"/>
  <c r="Q17" i="12"/>
  <c r="Q23" i="12"/>
  <c r="L51" i="16"/>
  <c r="L52" i="16"/>
  <c r="L53" i="16"/>
  <c r="L71" i="16"/>
  <c r="P25" i="19"/>
  <c r="Q25" i="19"/>
  <c r="Q26" i="19"/>
  <c r="L75" i="16"/>
  <c r="L78" i="16"/>
  <c r="F74" i="19"/>
  <c r="J74" i="19"/>
  <c r="J75" i="19"/>
  <c r="J76" i="19"/>
  <c r="P37" i="19"/>
  <c r="Q37" i="19"/>
  <c r="Q38" i="19"/>
  <c r="P49" i="19"/>
  <c r="Q49" i="19"/>
  <c r="Q50" i="19"/>
  <c r="M63" i="19"/>
  <c r="H63" i="19"/>
  <c r="G63" i="19"/>
  <c r="N63" i="19"/>
  <c r="L63" i="19"/>
  <c r="K63" i="19"/>
  <c r="O63" i="19"/>
  <c r="E63" i="19"/>
  <c r="J63" i="19"/>
  <c r="I63" i="19"/>
  <c r="P13" i="19"/>
  <c r="Q13" i="19"/>
  <c r="Q14" i="19"/>
  <c r="F63" i="19"/>
  <c r="N12" i="5"/>
  <c r="M12" i="5"/>
  <c r="D12" i="5"/>
  <c r="J12" i="5"/>
  <c r="F12" i="5"/>
  <c r="E12" i="5"/>
  <c r="H12" i="5"/>
  <c r="I12" i="5"/>
  <c r="L12" i="5"/>
  <c r="C12" i="5"/>
  <c r="K12" i="5"/>
  <c r="G12" i="5"/>
  <c r="D61" i="19"/>
  <c r="Q61" i="19"/>
  <c r="Q62" i="19"/>
  <c r="P14" i="19"/>
  <c r="P26" i="19"/>
  <c r="P38" i="19"/>
  <c r="P50" i="19"/>
  <c r="P63" i="19"/>
  <c r="F21" i="5"/>
  <c r="C21" i="5"/>
  <c r="G21" i="5"/>
  <c r="H21" i="5"/>
  <c r="D21" i="5"/>
  <c r="E21" i="5"/>
  <c r="F75" i="19"/>
  <c r="F83" i="19"/>
  <c r="J83" i="19"/>
  <c r="K74" i="19"/>
  <c r="K75" i="19"/>
  <c r="K83" i="19"/>
  <c r="K76" i="19"/>
  <c r="P75" i="16"/>
  <c r="P78" i="16"/>
  <c r="R61" i="19"/>
  <c r="P107" i="16"/>
  <c r="Q71" i="16"/>
  <c r="L107" i="16"/>
  <c r="Q51" i="16"/>
  <c r="Q52" i="16"/>
  <c r="Q53" i="16"/>
</calcChain>
</file>

<file path=xl/comments1.xml><?xml version="1.0" encoding="utf-8"?>
<comments xmlns="http://schemas.openxmlformats.org/spreadsheetml/2006/main">
  <authors>
    <author>Author</author>
  </authors>
  <commentList>
    <comment ref="G46" authorId="0" shapeId="0">
      <text>
        <r>
          <rPr>
            <b/>
            <sz val="9"/>
            <color indexed="81"/>
            <rFont val="Tahoma"/>
            <family val="2"/>
          </rPr>
          <t>AST:</t>
        </r>
        <r>
          <rPr>
            <sz val="9"/>
            <color indexed="81"/>
            <rFont val="Tahoma"/>
            <family val="2"/>
          </rPr>
          <t xml:space="preserve">
Average unit rate across all cable types, excluding feeder exit cable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G48" authorId="0" shapeId="0">
      <text>
        <r>
          <rPr>
            <b/>
            <sz val="9"/>
            <color indexed="81"/>
            <rFont val="Tahoma"/>
            <family val="2"/>
          </rPr>
          <t>AST:</t>
        </r>
        <r>
          <rPr>
            <sz val="9"/>
            <color indexed="81"/>
            <rFont val="Tahoma"/>
            <family val="2"/>
          </rPr>
          <t xml:space="preserve">
Average unit rate across all cable types, excluding feeder exit cable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G52" authorId="0" shapeId="0">
      <text>
        <r>
          <rPr>
            <b/>
            <sz val="9"/>
            <color indexed="81"/>
            <rFont val="Tahoma"/>
            <family val="2"/>
          </rPr>
          <t>AST:</t>
        </r>
        <r>
          <rPr>
            <sz val="9"/>
            <color indexed="81"/>
            <rFont val="Tahoma"/>
            <family val="2"/>
          </rPr>
          <t xml:space="preserve">
Average unit rate across all cable types, excluding feeder exit cable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G46" authorId="0" shapeId="0">
      <text>
        <r>
          <rPr>
            <b/>
            <sz val="9"/>
            <color indexed="81"/>
            <rFont val="Tahoma"/>
            <family val="2"/>
          </rPr>
          <t>AST:</t>
        </r>
        <r>
          <rPr>
            <sz val="9"/>
            <color indexed="81"/>
            <rFont val="Tahoma"/>
            <family val="2"/>
          </rPr>
          <t xml:space="preserve">
Average unit rate across all cable types, excluding feeder exit cable</t>
        </r>
      </text>
    </comment>
  </commentList>
</comments>
</file>

<file path=xl/comments5.xml><?xml version="1.0" encoding="utf-8"?>
<comments xmlns="http://schemas.openxmlformats.org/spreadsheetml/2006/main">
  <authors>
    <author>Author</author>
  </authors>
  <commentList>
    <comment ref="G41" authorId="0" shapeId="0">
      <text>
        <r>
          <rPr>
            <b/>
            <sz val="9"/>
            <color indexed="81"/>
            <rFont val="Tahoma"/>
            <family val="2"/>
          </rPr>
          <t>AST:</t>
        </r>
        <r>
          <rPr>
            <sz val="9"/>
            <color indexed="81"/>
            <rFont val="Tahoma"/>
            <family val="2"/>
          </rPr>
          <t xml:space="preserve">
Average unit rate across all cable types, excluding feeder exit cable</t>
        </r>
      </text>
    </comment>
  </commentList>
</comments>
</file>

<file path=xl/comments6.xml><?xml version="1.0" encoding="utf-8"?>
<comments xmlns="http://schemas.openxmlformats.org/spreadsheetml/2006/main">
  <authors>
    <author>Author</author>
  </authors>
  <commentList>
    <comment ref="G41" authorId="0" shapeId="0">
      <text>
        <r>
          <rPr>
            <b/>
            <sz val="9"/>
            <color indexed="81"/>
            <rFont val="Tahoma"/>
            <family val="2"/>
          </rPr>
          <t>AST:</t>
        </r>
        <r>
          <rPr>
            <sz val="9"/>
            <color indexed="81"/>
            <rFont val="Tahoma"/>
            <family val="2"/>
          </rPr>
          <t xml:space="preserve">
Average unit rate across all cable types, excluding feeder exit cable</t>
        </r>
      </text>
    </comment>
  </commentList>
</comments>
</file>

<file path=xl/sharedStrings.xml><?xml version="1.0" encoding="utf-8"?>
<sst xmlns="http://schemas.openxmlformats.org/spreadsheetml/2006/main" count="4248" uniqueCount="500">
  <si>
    <t>TOTAL</t>
  </si>
  <si>
    <t>Allocation</t>
  </si>
  <si>
    <t>SCADA/Network control</t>
  </si>
  <si>
    <t>Subtransmission</t>
  </si>
  <si>
    <t>Land</t>
  </si>
  <si>
    <t>Asset Class</t>
  </si>
  <si>
    <t>WOTS</t>
  </si>
  <si>
    <t>ELM</t>
  </si>
  <si>
    <t>Total</t>
  </si>
  <si>
    <t>2022 Jul-Dec</t>
  </si>
  <si>
    <t>2023 Jan-Jun</t>
  </si>
  <si>
    <t>2023 Jul-Dec</t>
  </si>
  <si>
    <t>2024 Jan-Jun</t>
  </si>
  <si>
    <t>2024 Jul-Dec</t>
  </si>
  <si>
    <t>2025 Jan-Jun</t>
  </si>
  <si>
    <t>2025 Jul-Dec</t>
  </si>
  <si>
    <t>2026 Jan-Jun</t>
  </si>
  <si>
    <t>2021 Jan-Jun</t>
  </si>
  <si>
    <t>2021 Jul-Dec</t>
  </si>
  <si>
    <t>2022 Jan-Jun</t>
  </si>
  <si>
    <t>Expenditure Class</t>
  </si>
  <si>
    <t>Materials</t>
  </si>
  <si>
    <t>Int Labour</t>
  </si>
  <si>
    <t>Contracts - Design</t>
  </si>
  <si>
    <t>Contracts - Construct</t>
  </si>
  <si>
    <t>Other</t>
  </si>
  <si>
    <t>P50 Total</t>
  </si>
  <si>
    <t>Augmentation</t>
  </si>
  <si>
    <t>Replacement</t>
  </si>
  <si>
    <t>Non-Network</t>
  </si>
  <si>
    <t>SubtransmissionAugmentation</t>
  </si>
  <si>
    <t>SCADA/Network controlAugmentation</t>
  </si>
  <si>
    <t>real $2019</t>
  </si>
  <si>
    <t>Grand Total</t>
  </si>
  <si>
    <t>In real $2018</t>
  </si>
  <si>
    <t>Total ($2019)</t>
  </si>
  <si>
    <t>&lt;-- Input for EPDR modelling</t>
  </si>
  <si>
    <t>Jan-Jun 2021</t>
  </si>
  <si>
    <t>CPI - $2018 to $2019</t>
  </si>
  <si>
    <t>Total Direct</t>
  </si>
  <si>
    <t>Input for Capex model (2021-26)</t>
  </si>
  <si>
    <t>Escalators</t>
  </si>
  <si>
    <t>CPI</t>
  </si>
  <si>
    <t>Sep Qtr</t>
  </si>
  <si>
    <t>Jun Qtr</t>
  </si>
  <si>
    <t>Forecast</t>
  </si>
  <si>
    <t>Actual Inflation - 8 cities, 1 year lagged (Jun to Jun)</t>
  </si>
  <si>
    <t>Decision Inflation (Amended)</t>
  </si>
  <si>
    <t>Index - $2014 to Nominal (using outturn inflation)</t>
  </si>
  <si>
    <t>Index - $2015 to nominal (using outturn inflation)</t>
  </si>
  <si>
    <t>Index - $2015 to nominal (using Decision inflation)</t>
  </si>
  <si>
    <t>Index - $2016 to nominal (using Decision inflation)</t>
  </si>
  <si>
    <t>Conversion factor - Mid Year $Nominal to End $2015</t>
  </si>
  <si>
    <t>(8 cities, 1 year lagged)</t>
  </si>
  <si>
    <t>Actual Wage Price Growth</t>
  </si>
  <si>
    <t>EGWWS WPI (Vic) real rate of change</t>
  </si>
  <si>
    <t>Construction WPI (Aus) real rate of change</t>
  </si>
  <si>
    <t>(source: ABS WPI industry data adjusted for actual inflation)</t>
  </si>
  <si>
    <t>Forecast Wage Price Growth</t>
  </si>
  <si>
    <t>Real escalation value (%)</t>
  </si>
  <si>
    <t>Cost Drivers</t>
  </si>
  <si>
    <t>Labour escalators</t>
  </si>
  <si>
    <t>Electricity Gas Water and Waste Services Wage Price Index (Internal labour)</t>
  </si>
  <si>
    <t>Construction Wage Price Index (External labour)</t>
  </si>
  <si>
    <t>(source: AER information request #049 - AusNet Services - Real escalation input cost indices, 8th March 2016)</t>
  </si>
  <si>
    <t>Labour index for Capital costs</t>
  </si>
  <si>
    <t>Internal labour index (applied to labour costs in $2015)</t>
  </si>
  <si>
    <t>External labour index (applied to labour costs in $2015)</t>
  </si>
  <si>
    <t>Labour index for Operating &amp; Maintenance costs</t>
  </si>
  <si>
    <t>WPI - EGWWS (Vic)</t>
  </si>
  <si>
    <t>Labour index (applied to labour costs in $2015)</t>
  </si>
  <si>
    <t>Labour / Non Labour splits</t>
  </si>
  <si>
    <t>Labour</t>
  </si>
  <si>
    <t>Non Labour</t>
  </si>
  <si>
    <t>(source: EDPR Final Decision Opex model - rate of change)</t>
  </si>
  <si>
    <t>Thousands</t>
  </si>
  <si>
    <t>Internal Labour rates</t>
  </si>
  <si>
    <t>Labour rates effective from 22-01-2014 (source: Expert Estimator tool)</t>
  </si>
  <si>
    <t>$/hr</t>
  </si>
  <si>
    <t>Notes</t>
  </si>
  <si>
    <t>Operational Staff Labour Rate (Tester/Controller/Operator/Applicant, etc)</t>
  </si>
  <si>
    <t>Engineering &amp; Professional Services Labour Rate</t>
  </si>
  <si>
    <t>Asset Management Engineer</t>
  </si>
  <si>
    <t>Project Manager</t>
  </si>
  <si>
    <t>Front Line Leader</t>
  </si>
  <si>
    <t>Site Manager Build</t>
  </si>
  <si>
    <t>Regulation &amp; Network Strategy team</t>
  </si>
  <si>
    <t>Legal team</t>
  </si>
  <si>
    <t>RAB / Asset Class</t>
  </si>
  <si>
    <t>Benchmark Expenditure Categories</t>
  </si>
  <si>
    <t>Cost Classification</t>
  </si>
  <si>
    <t>Capex</t>
  </si>
  <si>
    <t>Distribution system assets</t>
  </si>
  <si>
    <t>Connections</t>
  </si>
  <si>
    <t>Opex</t>
  </si>
  <si>
    <t>Non-network general assets - IT</t>
  </si>
  <si>
    <t>Non-network</t>
  </si>
  <si>
    <t>Non-network general assets - Other</t>
  </si>
  <si>
    <t>Capitalised network overheads</t>
  </si>
  <si>
    <t>Capitalised corporate overheads</t>
  </si>
  <si>
    <t>Cap Cons</t>
  </si>
  <si>
    <t>Station / REFCL no</t>
  </si>
  <si>
    <t>Short Nm</t>
  </si>
  <si>
    <t>Install additional GFN</t>
  </si>
  <si>
    <t>RWN</t>
  </si>
  <si>
    <t>Upsize ASC</t>
  </si>
  <si>
    <t>KMS</t>
  </si>
  <si>
    <t>WGI</t>
  </si>
  <si>
    <t>BGE</t>
  </si>
  <si>
    <t>Isolating transformer and UG works</t>
  </si>
  <si>
    <t>LDL</t>
  </si>
  <si>
    <t>Direct Cost Unit Rates - $000's, Real $2019</t>
  </si>
  <si>
    <t>Confidential</t>
  </si>
  <si>
    <t>Zone Substation works Unit Rates</t>
  </si>
  <si>
    <t>Primary Plant</t>
  </si>
  <si>
    <t>Unit</t>
  </si>
  <si>
    <t>Volumes by Station</t>
  </si>
  <si>
    <t>Category</t>
  </si>
  <si>
    <t>Description</t>
  </si>
  <si>
    <t>Rate ($k)</t>
  </si>
  <si>
    <t>Classification</t>
  </si>
  <si>
    <t>Contracts</t>
  </si>
  <si>
    <t>Station service transformer (500 kVA)</t>
  </si>
  <si>
    <t>Replace or install new station service transformer (500 kVA)</t>
  </si>
  <si>
    <t>Station service transformer (750 kVA)</t>
  </si>
  <si>
    <t>Replace or install new station service transformer (750 kVA)</t>
  </si>
  <si>
    <t>Capacitance reducing isolation substation (10 MVA)</t>
  </si>
  <si>
    <t>Install capacitance reducing isolation substation (10 MVA)</t>
  </si>
  <si>
    <t>AC changeover board - Station</t>
  </si>
  <si>
    <t>Installation of outdoor changeover board</t>
  </si>
  <si>
    <t>AC changeover board - REFCL</t>
  </si>
  <si>
    <t>Installation of outdoor changeover board suitable for uprated Station Service Tx, incl. footing</t>
  </si>
  <si>
    <t>AC C/O board footing</t>
  </si>
  <si>
    <t>Arc Suppression Coil</t>
  </si>
  <si>
    <t>Installation of ASC</t>
  </si>
  <si>
    <t>ASC footing</t>
  </si>
  <si>
    <t>Install new footing and associated bunding for GFN ASC unit</t>
  </si>
  <si>
    <t>22kV switchboard  - Metro</t>
  </si>
  <si>
    <t>Installation of 22 kV switchboard  - Metro</t>
  </si>
  <si>
    <t>22kV switchboard  - Rural</t>
  </si>
  <si>
    <t>Installation of 22 kV switchboard  - Rural</t>
  </si>
  <si>
    <t>22kV switchboard (no building) - Rural</t>
  </si>
  <si>
    <t>Installation of 22 kV switchboard only (no building) - Rural</t>
  </si>
  <si>
    <t>22kV Capacitor Banks</t>
  </si>
  <si>
    <t>Installation of 22 kV capacitor banks</t>
  </si>
  <si>
    <t>Installation of 2x3 MVAr Capacitor Bank</t>
  </si>
  <si>
    <t>Installation of 4x3 MVAr Capacitor Bank</t>
  </si>
  <si>
    <t>22kV Capacitor Bank - Modify</t>
  </si>
  <si>
    <t>Modify existing capacitor bank</t>
  </si>
  <si>
    <t>Cap Bank footing</t>
  </si>
  <si>
    <t>22kV Dead Tank Circuit Breaker</t>
  </si>
  <si>
    <t>22kV Dead Tank Circuit Breaker 3150A, 40kA</t>
  </si>
  <si>
    <t>22kV U/S Isolator</t>
  </si>
  <si>
    <t>22kV Underslung Isolator</t>
  </si>
  <si>
    <t>22KV Feeder Exit</t>
  </si>
  <si>
    <t>22kV Voltage Transformer</t>
  </si>
  <si>
    <t>22kV Current Transformer</t>
  </si>
  <si>
    <t>22kV Zero Sequence CTs</t>
  </si>
  <si>
    <t>Install core balance zero sequence current transformers</t>
  </si>
  <si>
    <t>22KV Surge Arrestor</t>
  </si>
  <si>
    <t>Transformer Neutral Isolator</t>
  </si>
  <si>
    <t xml:space="preserve">Neutral Bus </t>
  </si>
  <si>
    <t xml:space="preserve">Installation of neutral bus </t>
  </si>
  <si>
    <t xml:space="preserve">REFCL control room </t>
  </si>
  <si>
    <t>Installation of the REFCL control room only - no protection panels</t>
  </si>
  <si>
    <t>2 REFCL control room</t>
  </si>
  <si>
    <t>Installation of the REFCL control room only - no protection panels - supports 2 GFNs</t>
  </si>
  <si>
    <t>Battery Room (single battery set)</t>
  </si>
  <si>
    <t>Installation of modular battery room including batteries (1 set of)</t>
  </si>
  <si>
    <t>Battery Room (2 battery sets)</t>
  </si>
  <si>
    <t xml:space="preserve">Installation of modular battery room including batteries (2 sets of) </t>
  </si>
  <si>
    <t>New Control Building</t>
  </si>
  <si>
    <t xml:space="preserve">Installation of modular control building room </t>
  </si>
  <si>
    <t>Primary Cables - 22kV</t>
  </si>
  <si>
    <t>Tx to Switchboard 22kV 630mm2 XLPE single phase  (35mx6)</t>
  </si>
  <si>
    <t>S/S to Switchboard 22kV 185mm2 XLPE single phase (30mx3)</t>
  </si>
  <si>
    <t>ASC to Neutral Bus 22kV 95mm2 XLPE single phase (15m)</t>
  </si>
  <si>
    <t>Feeder Exit Cables - 22kV</t>
  </si>
  <si>
    <t>Feeder Exit Cables - 22kV 300mm (per metre)</t>
  </si>
  <si>
    <t>Primary Cable Testing</t>
  </si>
  <si>
    <t>Testing of station 22 kV Cables</t>
  </si>
  <si>
    <t>Oil separator</t>
  </si>
  <si>
    <t>Installation of Oil separator / Puraceptor</t>
  </si>
  <si>
    <t>One Tilt Slab control room</t>
  </si>
  <si>
    <t>Installation of a tilt slab building</t>
  </si>
  <si>
    <t>ASC only</t>
  </si>
  <si>
    <t>Protection &amp; Control</t>
  </si>
  <si>
    <t>Neutral Bus controller - 1 GFN</t>
  </si>
  <si>
    <t xml:space="preserve">Installation of neutral bus controller </t>
  </si>
  <si>
    <t>Neutral Bus controller - 2 GFNs</t>
  </si>
  <si>
    <t>Protection – GFN panels</t>
  </si>
  <si>
    <t xml:space="preserve">Interface, control panel and inverter </t>
  </si>
  <si>
    <t>GFN interface relay</t>
  </si>
  <si>
    <t>Power Quality/Switchgear Interface</t>
  </si>
  <si>
    <t>Installation of Panel with 2 Power Quality Meters &amp; 1 Switchgear interface relay</t>
  </si>
  <si>
    <t>Power Quality Non Std</t>
  </si>
  <si>
    <t>Installation of Panel with 6 Power Quality Meters</t>
  </si>
  <si>
    <t>Switchgear Interface Non Std</t>
  </si>
  <si>
    <t>Installation of Panel with 3 switchgear interface relays</t>
  </si>
  <si>
    <t>Capacitor Bank Prot &amp; Cntl (3x3MVAr)</t>
  </si>
  <si>
    <t>Installation of Panel for Prot &amp; Cntl of 3 x 3MVAr Capacitor Bank</t>
  </si>
  <si>
    <t>Capacitor Bank Prot &amp; Cntl (2x3MVAr)</t>
  </si>
  <si>
    <t>Installation of Panel for Prot &amp; Cntl of 2 x 3MVAr Capacitor Bank</t>
  </si>
  <si>
    <t>Remote Terminal Unit</t>
  </si>
  <si>
    <t>Install new RTU (existing MD1000 incapable of handling traffic of new relays)</t>
  </si>
  <si>
    <t>SCIMS system - small</t>
  </si>
  <si>
    <t>Install a new Substation Automation panel (SCIMS) in existing control room</t>
  </si>
  <si>
    <t>Network Balancing Unit Rates</t>
  </si>
  <si>
    <t xml:space="preserve">Design </t>
  </si>
  <si>
    <t>Design activities to determine network balancing requirements, validate balancing and record balancing information – per feeder</t>
  </si>
  <si>
    <t>WYK2 rate</t>
  </si>
  <si>
    <t>Other stations rate</t>
  </si>
  <si>
    <t xml:space="preserve">Third conductor installation </t>
  </si>
  <si>
    <t xml:space="preserve">Install 3rd conductor – per span </t>
  </si>
  <si>
    <t xml:space="preserve">Unbonding cable </t>
  </si>
  <si>
    <t xml:space="preserve">Unbounding cable at either end – per location </t>
  </si>
  <si>
    <t xml:space="preserve">Phase rotation </t>
  </si>
  <si>
    <t xml:space="preserve">Rotate phases – per rotation </t>
  </si>
  <si>
    <t>Balancing capacitors</t>
  </si>
  <si>
    <t>Install balancing capacitors (single or three phase) – per installation</t>
  </si>
  <si>
    <t xml:space="preserve">Inherent works </t>
  </si>
  <si>
    <t>Activities including the development of balancing capacitor solution, modification of Asset Management Systems - per feeder</t>
  </si>
  <si>
    <t>Inherent works  - various feeder based works</t>
  </si>
  <si>
    <t>Phase plate correction - per feeder and RC sections</t>
  </si>
  <si>
    <t>Phase plate correction</t>
  </si>
  <si>
    <t>Protection reviews for fuse removals and installation of solid link - per fuse</t>
  </si>
  <si>
    <t>Fuse removal and install solid link</t>
  </si>
  <si>
    <t>Installation of fusesaver and remote control unit - per site</t>
  </si>
  <si>
    <t>Install fusesaver and control box - per site</t>
  </si>
  <si>
    <t xml:space="preserve">Install new ACR for switching </t>
  </si>
  <si>
    <t>Install new ACR for switching</t>
  </si>
  <si>
    <t>Purchase of phase identification tools - G3 Phase ID probe</t>
  </si>
  <si>
    <t>- Base station</t>
  </si>
  <si>
    <t>Line Hardening Unit Rates</t>
  </si>
  <si>
    <t xml:space="preserve">Surge arrestor </t>
  </si>
  <si>
    <t>Replace surge arrestor on existing structure - per site</t>
  </si>
  <si>
    <t>- per unit</t>
  </si>
  <si>
    <t>Cables</t>
  </si>
  <si>
    <t>Cable On-Line Testing</t>
  </si>
  <si>
    <t>Cable Off-Line Testing</t>
  </si>
  <si>
    <t>Cable - Replace Fitting</t>
  </si>
  <si>
    <t>Cable - Replace Cable Section - per m</t>
  </si>
  <si>
    <t>$550 per m</t>
  </si>
  <si>
    <t>CERA Removal and Replacement with 900kVAr Pole Top Capacitor</t>
  </si>
  <si>
    <t>Compatible Equipment Unit Rates</t>
  </si>
  <si>
    <t xml:space="preserve">ACR upgrade </t>
  </si>
  <si>
    <t xml:space="preserve">Replace control box on ACR </t>
  </si>
  <si>
    <t xml:space="preserve">ACR replacement </t>
  </si>
  <si>
    <t xml:space="preserve">Replace pole-mounted ACR </t>
  </si>
  <si>
    <t xml:space="preserve">Voltage regulator upgrade </t>
  </si>
  <si>
    <t xml:space="preserve">Replace control box on voltage regulator </t>
  </si>
  <si>
    <t xml:space="preserve">Voltage regulator replacement </t>
  </si>
  <si>
    <t xml:space="preserve">Replace voltage regulator </t>
  </si>
  <si>
    <t>Code Compliance Unit Rates</t>
  </si>
  <si>
    <t>Code compliance</t>
  </si>
  <si>
    <t>Install isolating transformer and associated equipment adjacent to high-voltage customer – per site, 3.0 MVA substation</t>
  </si>
  <si>
    <t>not applicable</t>
  </si>
  <si>
    <t>5 MVA substation</t>
  </si>
  <si>
    <t>7.5 MVA substation</t>
  </si>
  <si>
    <t>ACR</t>
  </si>
  <si>
    <t>Line Hardening</t>
  </si>
  <si>
    <t>Reliability maintained Unit Rates</t>
  </si>
  <si>
    <t xml:space="preserve">Remote control switch </t>
  </si>
  <si>
    <t>Replace remote controlled switch on existing structure - Design</t>
  </si>
  <si>
    <t>- DFA2 software changes to SCADA</t>
  </si>
  <si>
    <t>- Materials supply and deployment of switches</t>
  </si>
  <si>
    <t>Live Line Equipment Purchases Unit Rates</t>
  </si>
  <si>
    <t>Mid-span Isolator units</t>
  </si>
  <si>
    <t>Devices used to reduce the outage area in the distribution network.  Set of isolators that are cut into a line between two poles (i.e., mid-span) to provide a temporary break in connection. After an outage devices can be re-used elswhere on the network.</t>
  </si>
  <si>
    <t>Rigid Hoppers</t>
  </si>
  <si>
    <t>Cable with clamp at each end that is placed inside an insulating tube.</t>
  </si>
  <si>
    <t>Line cut-out tools</t>
  </si>
  <si>
    <t>Set of tools used to cut into a line, e.g., for temporary installation of mid-span isolators</t>
  </si>
  <si>
    <t xml:space="preserve">New Line Hoses </t>
  </si>
  <si>
    <t>New Line Hoses (to replace Hard Covers) on 22kV lines</t>
  </si>
  <si>
    <t>Direct Cost Unit Rates - $000's, Real $2015</t>
  </si>
  <si>
    <t>Total Direct ($k, $2019)</t>
  </si>
  <si>
    <t>Total Internal Labour (hours)</t>
  </si>
  <si>
    <t>$/Unit ($2019)</t>
  </si>
  <si>
    <t>QTY</t>
  </si>
  <si>
    <t>UOM</t>
  </si>
  <si>
    <t>Chk</t>
  </si>
  <si>
    <t>Project Engineer</t>
  </si>
  <si>
    <t>Project Engineer Build</t>
  </si>
  <si>
    <t>Operational Staff</t>
  </si>
  <si>
    <t>Total Hours</t>
  </si>
  <si>
    <t>Labour rates</t>
  </si>
  <si>
    <t>Design - Internal/External @ 18%</t>
  </si>
  <si>
    <t>Project Management &amp; Engineering</t>
  </si>
  <si>
    <t>Project Establishment</t>
  </si>
  <si>
    <t>Project Management</t>
  </si>
  <si>
    <t>Project Close-out, Testing &amp; Commissioning</t>
  </si>
  <si>
    <t>Community Engagement</t>
  </si>
  <si>
    <t>Zone Substation works</t>
  </si>
  <si>
    <t>ea</t>
  </si>
  <si>
    <t>p/mtr</t>
  </si>
  <si>
    <t>SCADA / Protection &amp; Control/ Comms</t>
  </si>
  <si>
    <t>22kV Protection &amp; Control Modifications</t>
  </si>
  <si>
    <t>Other protection works</t>
  </si>
  <si>
    <t>Other AC &amp; DC supplies</t>
  </si>
  <si>
    <t>Civil works</t>
  </si>
  <si>
    <t>Earthworks, Buildings</t>
  </si>
  <si>
    <t>22kV switchyard - install new puraceptor</t>
  </si>
  <si>
    <t>- Other</t>
  </si>
  <si>
    <t>Construction delivery &amp; site control</t>
  </si>
  <si>
    <t>Land purchase</t>
  </si>
  <si>
    <t>Subtotal Substation works</t>
  </si>
  <si>
    <t>Check</t>
  </si>
  <si>
    <t>Feeder works</t>
  </si>
  <si>
    <t>Material $/Unit</t>
  </si>
  <si>
    <t>Network Balancing</t>
  </si>
  <si>
    <t>Total hrs p/unit</t>
  </si>
  <si>
    <t>Design Labour - internal / external</t>
  </si>
  <si>
    <t>feeders</t>
  </si>
  <si>
    <t>spans</t>
  </si>
  <si>
    <t>location</t>
  </si>
  <si>
    <t>rotations</t>
  </si>
  <si>
    <t>installations</t>
  </si>
  <si>
    <t>feeders &amp; RC sections</t>
  </si>
  <si>
    <t>fuses</t>
  </si>
  <si>
    <t>sites</t>
  </si>
  <si>
    <t>ACRs</t>
  </si>
  <si>
    <t>Subtotal Network Balancing</t>
  </si>
  <si>
    <t>Surge arrestor replacement</t>
  </si>
  <si>
    <t>m</t>
  </si>
  <si>
    <t>Compatible Equipment</t>
  </si>
  <si>
    <t>Distribution Code</t>
  </si>
  <si>
    <t>HV customers isolation substation (3.0 MVA)</t>
  </si>
  <si>
    <t>HV customers isolation substation (5.0 MVA)</t>
  </si>
  <si>
    <t>HV customers isolation substation (7.5 MVA)</t>
  </si>
  <si>
    <t>Subtotal feeder works</t>
  </si>
  <si>
    <t>Design, Project Management &amp; Engineering costs allocation</t>
  </si>
  <si>
    <t>Total Substation works</t>
  </si>
  <si>
    <t xml:space="preserve">Design - Internal/External </t>
  </si>
  <si>
    <t>Capacitance reducing isolation substation (7.5 MVA)</t>
  </si>
  <si>
    <t>Install capacitance reducing isolation substation (7.5 MVA)</t>
  </si>
  <si>
    <t>SOURCE: ASD - Attachment 22 - AST Contingent Project 3 Total Cost Model_CONFIDENTIAL (AER &amp; AST amended)_19.09.19.xlsx</t>
  </si>
  <si>
    <t>22kV Capacitor Bank (2x3 MVAr) - type 4</t>
  </si>
  <si>
    <t>22kV Capacitor Bank (2x3 MVAr) - type 2</t>
  </si>
  <si>
    <t>22kV Capacitor Bank (4 x3 MVAr) - type 3</t>
  </si>
  <si>
    <t>Power transformer - 66/22kV 15/20MVA</t>
  </si>
  <si>
    <t>Transformer - 66/22kV 15/20MVA</t>
  </si>
  <si>
    <t>22kV Neutral Earthing Resistors</t>
  </si>
  <si>
    <t>Design - Internal/External</t>
  </si>
  <si>
    <t>Buildings</t>
  </si>
  <si>
    <t>Earthworks</t>
  </si>
  <si>
    <t>Infrastructure - Services</t>
  </si>
  <si>
    <t>Metering &amp; System Monitoring</t>
  </si>
  <si>
    <t>66kV Line Protection Panel</t>
  </si>
  <si>
    <t>66kV Substation Protection Panel (transformer &amp; bus)</t>
  </si>
  <si>
    <t>66/22kV Transformer Voltage Control &amp; Regulation Cubicle</t>
  </si>
  <si>
    <t>66/22kV Transformer Voltage Control &amp; Regulation Cubicle (A-EBERLE)</t>
  </si>
  <si>
    <t>22kV Indoor Switchgear - Transformers</t>
  </si>
  <si>
    <t>66kV Bay - Ring Bus</t>
  </si>
  <si>
    <t>66kV Exit - Line Feeder</t>
  </si>
  <si>
    <t>66kV Exit - Transformer</t>
  </si>
  <si>
    <t>66kV Bay - Ring Bus (and 66kV vacant bay)</t>
  </si>
  <si>
    <t>Earth Grid</t>
  </si>
  <si>
    <t>Earth Grid (4,900 m2)</t>
  </si>
  <si>
    <t>Substation Protection Panel (66/22kV Transformer &amp; 66kV bus)</t>
  </si>
  <si>
    <t>66kV Overhead Lines</t>
  </si>
  <si>
    <t>ADSS per km (Installed on Existing Poles)</t>
  </si>
  <si>
    <t>km</t>
  </si>
  <si>
    <t>Stays</t>
  </si>
  <si>
    <t>Supervision, Traffic Control, Set-Up Site &amp; Clean-Up</t>
  </si>
  <si>
    <t>Conductor (19/4.75 AAC)</t>
  </si>
  <si>
    <t>Conductor (19/3.25 AAC)</t>
  </si>
  <si>
    <t>OPGW Joint Box (Installed &amp; Terminated on Existing Tower/Pole)</t>
  </si>
  <si>
    <t>Cross Arms 66kV - Intermediate &amp; Strain (incl. insulators &amp; hardware)</t>
  </si>
  <si>
    <t>Feeder Cut-in works</t>
  </si>
  <si>
    <t>Conductor (19/4.75 AAC) - Per km, installed</t>
  </si>
  <si>
    <t>Conductor (19/3.25 AAC) - Per km, installed</t>
  </si>
  <si>
    <t>Cross Arms 66kV - Intermediate &amp; Strain</t>
  </si>
  <si>
    <t>Surge arrestor</t>
  </si>
  <si>
    <t>Gas Switch</t>
  </si>
  <si>
    <t>22kV Underground Cable (150m)</t>
  </si>
  <si>
    <t>22kV Underground Cable (150m) to NEW pole including gas switch and surge diverters: -</t>
  </si>
  <si>
    <t>Cross Arms 22kV LV - Intermediate &amp; Strain</t>
  </si>
  <si>
    <t>Cross Arms 22kV HV - Intermediate &amp; Strain</t>
  </si>
  <si>
    <t>Cross Arms 22kV HV - Intermediate &amp; Strain (incl. insulators &amp; hardware)</t>
  </si>
  <si>
    <t>Cross Arms 22kV LV - Intermediate &amp; Strain (Incl. Insulators &amp; Hardware)</t>
  </si>
  <si>
    <t>Primary</t>
  </si>
  <si>
    <t>Secondary</t>
  </si>
  <si>
    <t>Lines</t>
  </si>
  <si>
    <t>XLPE 3 Core 22kV Cable</t>
  </si>
  <si>
    <t xml:space="preserve">Pole - Concrete 15.5m, 12kN working load (24kN ultimate) </t>
  </si>
  <si>
    <t>Concrete Poles 15.5m (includes installation), per pole</t>
  </si>
  <si>
    <t>Concrete Poles 20m (includes installation), per pole</t>
  </si>
  <si>
    <t>Gas Switch (supply only)</t>
  </si>
  <si>
    <t>Additional Primary Plant, Secondary and Lines Unit Rates - per IR#004A (14/04/2020)</t>
  </si>
  <si>
    <t>ADSS Fibre Optic Cable</t>
  </si>
  <si>
    <t>Vegetation Clearing</t>
  </si>
  <si>
    <t>New 66 kV Pole Line construction (6km): -</t>
  </si>
  <si>
    <t>66kV Line - Replace X-Arms &amp; Insulators (1km): -</t>
  </si>
  <si>
    <t>Vegetation Clearing - Light 66kV Line (6km):-</t>
  </si>
  <si>
    <t>ADSS Cable Installed on Existing Poles (40km): -</t>
  </si>
  <si>
    <t>66kV/22kV Overhead Lines</t>
  </si>
  <si>
    <t>Pole - Concrete 20m, 16kN working load, includes installation</t>
  </si>
  <si>
    <t>Vegetation Clearing - Light 66kV Line (5km):-</t>
  </si>
  <si>
    <t>ADSS Cable Installed on Existing Poles (5km): -</t>
  </si>
  <si>
    <t>66kV Line - Replace X-Arms &amp; Insulators (/km): -</t>
  </si>
  <si>
    <t>New 66 kV Pole Line construction (5km): -</t>
  </si>
  <si>
    <t>&lt;spare&gt;</t>
  </si>
  <si>
    <t>Subtotal Feeder Cut-in works</t>
  </si>
  <si>
    <t>Subtotal 66kV/22kV Overhead Lines</t>
  </si>
  <si>
    <t>This estimate is for the addition of a single GFN in a new Zone Substation that has been built to meet REFCL requirements.</t>
  </si>
  <si>
    <t>BDL</t>
  </si>
  <si>
    <t>check</t>
  </si>
  <si>
    <t>Installation of three 7.5MVA isolation transformers at the proposed locations</t>
  </si>
  <si>
    <t>Installation of isolation transformers at 12 proposed locations &amp; BDL feeder swap</t>
  </si>
  <si>
    <t>Total - $2019</t>
  </si>
  <si>
    <t>Two remote REFCLs, one on WOTS11 and one on WOTS25. Also, installation of three 300kVA isolation transformers on WOTS25.</t>
  </si>
  <si>
    <t>Installation of 300kVA isolation transformers at 5 proposed locations</t>
  </si>
  <si>
    <t>Capex Summary by Asset Class</t>
  </si>
  <si>
    <t>ALL Classes</t>
  </si>
  <si>
    <t>High level phasing of total REFCL Augex program and revised KLO solution</t>
  </si>
  <si>
    <t>Station service transformer (1 MVA)</t>
  </si>
  <si>
    <t>Replace or install new station service transformer (1 MVA)</t>
  </si>
  <si>
    <t>Decommission existing 10/16MVA Transformer</t>
  </si>
  <si>
    <t>Power transformer - 66/22kV 20/33MVA</t>
  </si>
  <si>
    <t>Installation of transformer - 66/22kV 20/33MVA</t>
  </si>
  <si>
    <t>66kV Surge Arrestor</t>
  </si>
  <si>
    <t>66kV 800A Rotary Disconnect</t>
  </si>
  <si>
    <t>66kV Dead Tank Circuit Breaker</t>
  </si>
  <si>
    <t>66kv Dead Tank Circuit Breaker</t>
  </si>
  <si>
    <t>66kV U/S Isolator</t>
  </si>
  <si>
    <t>66kV Unuderslung Isolator</t>
  </si>
  <si>
    <t>Revised solution - Bus 1 - Install remote REFCL on BGE13 and transfer 5A of capacitive current from BGE13 to FGY.
Bus 2 - Install 4 pole-top isolation transformers on BGE22.</t>
  </si>
  <si>
    <t>Underground HV ABC</t>
  </si>
  <si>
    <t>Convert existing pole to hybrid fused substation</t>
  </si>
  <si>
    <t>Underground HV ABC ($per metre)</t>
  </si>
  <si>
    <t>Capacitance reducing isolation substation (12.5 MVA)</t>
  </si>
  <si>
    <t>Station service transformer (200 kVA)</t>
  </si>
  <si>
    <t>Capacitance reducing isolation substation (300 kVA)</t>
  </si>
  <si>
    <t>Install capacitance reducing isolation substation (300 kVA)</t>
  </si>
  <si>
    <t>High Impedance Busbar Protection cubicle</t>
  </si>
  <si>
    <t>New ACR unit and control box</t>
  </si>
  <si>
    <t>Install capacitance reducing isolation substation (12.5 MVA) incl. footing</t>
  </si>
  <si>
    <t>Replace or install new station service transformer (200 kVA) incl. footing</t>
  </si>
  <si>
    <t>Remote REFCL at WOTS11 &amp; WOTS25 works</t>
  </si>
  <si>
    <t>Subtotal Remote REFCL works</t>
  </si>
  <si>
    <t>Type 3 REFCL control room</t>
  </si>
  <si>
    <t>Installation of REFCL control room with customised non-standard panels (incl. footing)</t>
  </si>
  <si>
    <t>Total Remote REFCL at WOTS11 &amp; WOTS25 works</t>
  </si>
  <si>
    <t>Remote REFCLs</t>
  </si>
  <si>
    <t>22kV Underground Cable 300mm2 XLPE</t>
  </si>
  <si>
    <t>Lines works at WOTS11 &amp; WOTS25</t>
  </si>
  <si>
    <t>Inherent works</t>
  </si>
  <si>
    <t>Isolation Transformers</t>
  </si>
  <si>
    <t>Install three isolation transformers</t>
  </si>
  <si>
    <t>Subtotal Lines works at WOTS11 &amp; WOTS25</t>
  </si>
  <si>
    <t xml:space="preserve">Subtotal Install three isolation transformers </t>
  </si>
  <si>
    <t>22kV Underground Cable 185mm2 XLPE</t>
  </si>
  <si>
    <t>Install five isolation transformers</t>
  </si>
  <si>
    <t xml:space="preserve">Subtotal Install five isolation transformers </t>
  </si>
  <si>
    <t>Remote REFCL at BGE13 works</t>
  </si>
  <si>
    <t>Remote REFCL works</t>
  </si>
  <si>
    <t>Total Remote REFCL works</t>
  </si>
  <si>
    <t>Lines works at BGE13</t>
  </si>
  <si>
    <t>22KV cable terminations</t>
  </si>
  <si>
    <t>Subtotal Lines works at BGE13</t>
  </si>
  <si>
    <t>Install four isolation transformers</t>
  </si>
  <si>
    <t>Capacitance reducing isolation substation (1 MVA)</t>
  </si>
  <si>
    <t>Install capacitance reducing isolation substation (1 MVA)</t>
  </si>
  <si>
    <t>Decommission and remove existing conductor (route length) at various locations - includes AAC, ASCR, Steel</t>
  </si>
  <si>
    <t>Subtotal Install four isolation transformers</t>
  </si>
  <si>
    <t>p/km</t>
  </si>
  <si>
    <t>Isolation Substation at LDL11 works</t>
  </si>
  <si>
    <t>Subtotal Isolation Substation works</t>
  </si>
  <si>
    <t>Isolation Substation works</t>
  </si>
  <si>
    <t>Total Isolation Substation works</t>
  </si>
  <si>
    <t>LDL11 Lines works</t>
  </si>
  <si>
    <t>Subtotal LDL11 Lines works</t>
  </si>
  <si>
    <t>Capacitance reducing isolation substation (5 / 7.5 MVA)</t>
  </si>
  <si>
    <t>22kV Line Protection Panel</t>
  </si>
  <si>
    <t>66/22kV Transformer Protection Panel</t>
  </si>
  <si>
    <t>Install capacitance reducing isolation substation (5 / 7.5 MVA) incl. footing</t>
  </si>
  <si>
    <t>Concrete Poles 15.5m Replacement (includes installation), per pole</t>
  </si>
  <si>
    <t>Program phasing - 6 monthly (excl. Land)</t>
  </si>
  <si>
    <t>&lt;Spare&gt;</t>
  </si>
  <si>
    <t>spare</t>
  </si>
  <si>
    <t>AusNet Services - REFCL Augmentation Program Forecast</t>
  </si>
  <si>
    <t>1. REFCL Augmentation Program Forecast (including WOTS, BDL, ELM, RWN, KMS, WGI, BGE, LDL)</t>
  </si>
  <si>
    <t>XLPE 3 Core 22kV Cable (includes trench and install conduit) - per m</t>
  </si>
  <si>
    <t xml:space="preserve">Proposed real wage escalator CY20 - internal labour </t>
  </si>
  <si>
    <t>Actual CPI (1 year lagged) - $2019 to 2020</t>
  </si>
  <si>
    <t>P50 Total - $2019</t>
  </si>
  <si>
    <t>P50 Total - $2020</t>
  </si>
  <si>
    <t>Direct Cost Composition</t>
  </si>
  <si>
    <t>Vegetation Clearing - Light 66kV/22kV Line (Per km)</t>
  </si>
  <si>
    <t>Escalator - $2019 to $2020</t>
  </si>
  <si>
    <t>CY2018</t>
  </si>
  <si>
    <t>CY2019</t>
  </si>
  <si>
    <t>CY2020</t>
  </si>
  <si>
    <t>Proposed real wage escalator</t>
  </si>
  <si>
    <t>CPI Actual - 1 year lagged</t>
  </si>
  <si>
    <t>Total costs</t>
  </si>
  <si>
    <t>ASD inserted</t>
  </si>
  <si>
    <t>REAL $2018</t>
  </si>
  <si>
    <t>Distribution system assetsAugmentation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</si>
</sst>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_-* #,##0.0_-;\-* #,##0.0_-;_-* &quot;-&quot;??_-;_-@_-"/>
    <numFmt numFmtId="166" formatCode="0.0000"/>
    <numFmt numFmtId="167" formatCode="0.00000"/>
    <numFmt numFmtId="168" formatCode="0.0"/>
    <numFmt numFmtId="169" formatCode="#,##0.0"/>
    <numFmt numFmtId="170" formatCode="_-* #,##0.0_-;\-* #,##0.0_-;_-* &quot;-&quot;?_-;_-@_-"/>
    <numFmt numFmtId="171" formatCode="0.0%"/>
    <numFmt numFmtId="172" formatCode="_-* #,##0.000_-;\-* #,##0.000_-;_-* &quot;-&quot;??_-;_-@_-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1"/>
      <color rgb="FF0070C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rgb="FFFFFFFF"/>
      <name val="Arial"/>
      <family val="2"/>
    </font>
    <font>
      <i/>
      <sz val="11"/>
      <color theme="1"/>
      <name val="Calibri"/>
      <family val="2"/>
    </font>
    <font>
      <sz val="10"/>
      <color theme="1"/>
      <name val="Arial"/>
      <family val="2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20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Calibri"/>
      <family val="2"/>
      <scheme val="minor"/>
    </font>
    <font>
      <i/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i/>
      <sz val="11"/>
      <name val="Calibri"/>
      <family val="2"/>
      <scheme val="minor"/>
    </font>
    <font>
      <u/>
      <sz val="11"/>
      <name val="Calibri"/>
      <family val="2"/>
      <scheme val="minor"/>
    </font>
    <font>
      <b/>
      <u/>
      <sz val="11"/>
      <color theme="3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b/>
      <strike/>
      <sz val="11"/>
      <color rgb="FF002060"/>
      <name val="Calibri"/>
      <family val="2"/>
      <scheme val="minor"/>
    </font>
    <font>
      <sz val="11"/>
      <color theme="0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C6EFCE"/>
      </patternFill>
    </fill>
    <fill>
      <patternFill patternType="solid">
        <fgColor rgb="FFDCE6F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9" fillId="14" borderId="0" applyNumberFormat="0" applyBorder="0" applyAlignment="0" applyProtection="0"/>
    <xf numFmtId="0" fontId="35" fillId="0" borderId="0"/>
  </cellStyleXfs>
  <cellXfs count="487">
    <xf numFmtId="0" fontId="0" fillId="0" borderId="0" xfId="0"/>
    <xf numFmtId="164" fontId="0" fillId="0" borderId="0" xfId="1" applyNumberFormat="1" applyFont="1"/>
    <xf numFmtId="0" fontId="0" fillId="0" borderId="0" xfId="0" applyAlignment="1">
      <alignment horizontal="center"/>
    </xf>
    <xf numFmtId="0" fontId="2" fillId="0" borderId="0" xfId="0" applyFont="1"/>
    <xf numFmtId="165" fontId="0" fillId="0" borderId="0" xfId="1" applyNumberFormat="1" applyFont="1"/>
    <xf numFmtId="164" fontId="0" fillId="0" borderId="0" xfId="0" applyNumberFormat="1"/>
    <xf numFmtId="9" fontId="0" fillId="0" borderId="0" xfId="2" applyFont="1"/>
    <xf numFmtId="164" fontId="0" fillId="0" borderId="2" xfId="0" applyNumberFormat="1" applyBorder="1"/>
    <xf numFmtId="9" fontId="0" fillId="0" borderId="0" xfId="0" applyNumberFormat="1"/>
    <xf numFmtId="0" fontId="0" fillId="0" borderId="0" xfId="0" applyAlignment="1">
      <alignment horizontal="center" wrapText="1"/>
    </xf>
    <xf numFmtId="164" fontId="2" fillId="0" borderId="1" xfId="0" applyNumberFormat="1" applyFont="1" applyBorder="1"/>
    <xf numFmtId="0" fontId="4" fillId="0" borderId="0" xfId="0" applyFont="1"/>
    <xf numFmtId="0" fontId="0" fillId="2" borderId="4" xfId="0" applyFill="1" applyBorder="1" applyAlignment="1">
      <alignment horizontal="center"/>
    </xf>
    <xf numFmtId="0" fontId="0" fillId="2" borderId="4" xfId="0" applyFill="1" applyBorder="1"/>
    <xf numFmtId="0" fontId="0" fillId="0" borderId="0" xfId="0" quotePrefix="1"/>
    <xf numFmtId="164" fontId="2" fillId="3" borderId="1" xfId="0" applyNumberFormat="1" applyFont="1" applyFill="1" applyBorder="1"/>
    <xf numFmtId="164" fontId="0" fillId="4" borderId="0" xfId="1" applyNumberFormat="1" applyFont="1" applyFill="1"/>
    <xf numFmtId="17" fontId="0" fillId="0" borderId="0" xfId="0" applyNumberFormat="1" applyAlignment="1">
      <alignment horizontal="center"/>
    </xf>
    <xf numFmtId="0" fontId="5" fillId="0" borderId="0" xfId="0" applyFont="1"/>
    <xf numFmtId="164" fontId="0" fillId="5" borderId="0" xfId="0" applyNumberFormat="1" applyFill="1"/>
    <xf numFmtId="164" fontId="0" fillId="5" borderId="2" xfId="0" applyNumberFormat="1" applyFill="1" applyBorder="1"/>
    <xf numFmtId="164" fontId="2" fillId="0" borderId="0" xfId="0" applyNumberFormat="1" applyFont="1"/>
    <xf numFmtId="43" fontId="0" fillId="0" borderId="0" xfId="0" applyNumberFormat="1"/>
    <xf numFmtId="0" fontId="0" fillId="0" borderId="0" xfId="0" applyFill="1"/>
    <xf numFmtId="0" fontId="4" fillId="0" borderId="0" xfId="0" applyFont="1" applyFill="1"/>
    <xf numFmtId="0" fontId="9" fillId="0" borderId="0" xfId="0" applyFont="1"/>
    <xf numFmtId="10" fontId="0" fillId="0" borderId="0" xfId="2" applyNumberFormat="1" applyFont="1"/>
    <xf numFmtId="10" fontId="0" fillId="0" borderId="0" xfId="2" applyNumberFormat="1" applyFont="1" applyFill="1"/>
    <xf numFmtId="10" fontId="0" fillId="0" borderId="0" xfId="0" applyNumberFormat="1"/>
    <xf numFmtId="0" fontId="0" fillId="5" borderId="0" xfId="0" applyFill="1"/>
    <xf numFmtId="166" fontId="0" fillId="5" borderId="0" xfId="0" applyNumberFormat="1" applyFill="1"/>
    <xf numFmtId="166" fontId="0" fillId="0" borderId="0" xfId="0" applyNumberFormat="1"/>
    <xf numFmtId="0" fontId="10" fillId="0" borderId="0" xfId="0" applyFont="1"/>
    <xf numFmtId="0" fontId="11" fillId="0" borderId="0" xfId="0" applyFont="1"/>
    <xf numFmtId="0" fontId="12" fillId="7" borderId="0" xfId="0" applyFont="1" applyFill="1" applyAlignment="1">
      <alignment vertical="center" wrapText="1"/>
    </xf>
    <xf numFmtId="0" fontId="12" fillId="7" borderId="15" xfId="0" applyFont="1" applyFill="1" applyBorder="1" applyAlignment="1">
      <alignment horizontal="center" vertical="center"/>
    </xf>
    <xf numFmtId="0" fontId="13" fillId="0" borderId="16" xfId="0" applyFont="1" applyBorder="1" applyAlignment="1">
      <alignment vertical="center"/>
    </xf>
    <xf numFmtId="0" fontId="13" fillId="0" borderId="17" xfId="0" applyFont="1" applyBorder="1" applyAlignment="1">
      <alignment vertical="center"/>
    </xf>
    <xf numFmtId="0" fontId="14" fillId="0" borderId="17" xfId="0" applyFont="1" applyBorder="1" applyAlignment="1">
      <alignment horizontal="right" vertical="center"/>
    </xf>
    <xf numFmtId="0" fontId="15" fillId="0" borderId="16" xfId="0" applyFont="1" applyBorder="1" applyAlignment="1">
      <alignment vertical="center" wrapText="1"/>
    </xf>
    <xf numFmtId="0" fontId="15" fillId="0" borderId="17" xfId="0" applyFont="1" applyBorder="1" applyAlignment="1">
      <alignment vertical="center" wrapText="1"/>
    </xf>
    <xf numFmtId="0" fontId="14" fillId="0" borderId="17" xfId="0" applyFont="1" applyBorder="1" applyAlignment="1">
      <alignment horizontal="center" vertical="center"/>
    </xf>
    <xf numFmtId="0" fontId="15" fillId="0" borderId="16" xfId="0" applyFont="1" applyBorder="1" applyAlignment="1">
      <alignment vertical="center"/>
    </xf>
    <xf numFmtId="0" fontId="15" fillId="0" borderId="17" xfId="0" applyFont="1" applyBorder="1" applyAlignment="1">
      <alignment vertical="center"/>
    </xf>
    <xf numFmtId="166" fontId="0" fillId="0" borderId="0" xfId="1" applyNumberFormat="1" applyFont="1" applyFill="1"/>
    <xf numFmtId="167" fontId="0" fillId="0" borderId="0" xfId="0" applyNumberFormat="1"/>
    <xf numFmtId="0" fontId="0" fillId="0" borderId="2" xfId="0" applyBorder="1"/>
    <xf numFmtId="1" fontId="0" fillId="0" borderId="0" xfId="2" applyNumberFormat="1" applyFont="1"/>
    <xf numFmtId="6" fontId="0" fillId="0" borderId="0" xfId="0" quotePrefix="1" applyNumberFormat="1" applyAlignment="1">
      <alignment horizontal="center"/>
    </xf>
    <xf numFmtId="44" fontId="0" fillId="0" borderId="0" xfId="3" applyFont="1"/>
    <xf numFmtId="0" fontId="0" fillId="0" borderId="0" xfId="0" applyAlignment="1">
      <alignment vertical="center"/>
    </xf>
    <xf numFmtId="44" fontId="0" fillId="0" borderId="0" xfId="3" applyFont="1" applyFill="1" applyAlignment="1">
      <alignment vertical="center"/>
    </xf>
    <xf numFmtId="0" fontId="0" fillId="0" borderId="0" xfId="0" applyAlignment="1">
      <alignment vertical="center" wrapText="1"/>
    </xf>
    <xf numFmtId="0" fontId="0" fillId="8" borderId="0" xfId="0" applyFill="1"/>
    <xf numFmtId="0" fontId="16" fillId="6" borderId="0" xfId="0" applyFont="1" applyFill="1" applyAlignment="1">
      <alignment horizontal="center"/>
    </xf>
    <xf numFmtId="0" fontId="8" fillId="0" borderId="0" xfId="0" applyFont="1"/>
    <xf numFmtId="0" fontId="5" fillId="0" borderId="0" xfId="0" applyFont="1" applyAlignment="1">
      <alignment vertical="center"/>
    </xf>
    <xf numFmtId="168" fontId="0" fillId="0" borderId="0" xfId="0" applyNumberFormat="1"/>
    <xf numFmtId="0" fontId="7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7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3" xfId="0" applyBorder="1"/>
    <xf numFmtId="0" fontId="19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6" fillId="0" borderId="3" xfId="0" applyFont="1" applyBorder="1" applyAlignment="1">
      <alignment horizontal="center"/>
    </xf>
    <xf numFmtId="165" fontId="0" fillId="0" borderId="3" xfId="1" applyNumberFormat="1" applyFont="1" applyFill="1" applyBorder="1"/>
    <xf numFmtId="165" fontId="1" fillId="0" borderId="0" xfId="1" applyNumberFormat="1" applyFont="1" applyFill="1"/>
    <xf numFmtId="0" fontId="20" fillId="0" borderId="0" xfId="0" applyFont="1" applyAlignment="1">
      <alignment horizontal="center"/>
    </xf>
    <xf numFmtId="0" fontId="21" fillId="0" borderId="0" xfId="0" applyFont="1"/>
    <xf numFmtId="0" fontId="16" fillId="0" borderId="0" xfId="0" applyFont="1" applyAlignment="1">
      <alignment horizontal="center"/>
    </xf>
    <xf numFmtId="43" fontId="0" fillId="0" borderId="3" xfId="1" applyFont="1" applyFill="1" applyBorder="1"/>
    <xf numFmtId="169" fontId="0" fillId="0" borderId="0" xfId="0" applyNumberFormat="1"/>
    <xf numFmtId="0" fontId="19" fillId="0" borderId="0" xfId="0" applyFont="1" applyAlignment="1">
      <alignment horizontal="center"/>
    </xf>
    <xf numFmtId="165" fontId="0" fillId="0" borderId="0" xfId="0" applyNumberFormat="1"/>
    <xf numFmtId="0" fontId="0" fillId="2" borderId="8" xfId="0" applyFill="1" applyBorder="1"/>
    <xf numFmtId="9" fontId="21" fillId="2" borderId="9" xfId="2" applyFont="1" applyFill="1" applyBorder="1"/>
    <xf numFmtId="0" fontId="1" fillId="2" borderId="9" xfId="2" applyNumberFormat="1" applyFont="1" applyFill="1" applyBorder="1"/>
    <xf numFmtId="9" fontId="1" fillId="0" borderId="0" xfId="2" applyFont="1"/>
    <xf numFmtId="0" fontId="0" fillId="2" borderId="18" xfId="0" applyFill="1" applyBorder="1" applyAlignment="1">
      <alignment horizontal="center"/>
    </xf>
    <xf numFmtId="165" fontId="0" fillId="0" borderId="3" xfId="1" applyNumberFormat="1" applyFont="1" applyBorder="1"/>
    <xf numFmtId="0" fontId="0" fillId="0" borderId="10" xfId="0" applyBorder="1"/>
    <xf numFmtId="8" fontId="0" fillId="0" borderId="3" xfId="0" applyNumberFormat="1" applyBorder="1"/>
    <xf numFmtId="0" fontId="0" fillId="0" borderId="3" xfId="0" applyBorder="1" applyAlignment="1">
      <alignment wrapText="1"/>
    </xf>
    <xf numFmtId="165" fontId="0" fillId="0" borderId="3" xfId="1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5" fontId="0" fillId="0" borderId="3" xfId="1" applyNumberFormat="1" applyFont="1" applyBorder="1" applyAlignment="1">
      <alignment vertical="center"/>
    </xf>
    <xf numFmtId="0" fontId="0" fillId="0" borderId="3" xfId="0" applyBorder="1" applyAlignment="1">
      <alignment vertical="center" wrapText="1"/>
    </xf>
    <xf numFmtId="0" fontId="16" fillId="0" borderId="3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165" fontId="0" fillId="0" borderId="3" xfId="1" applyNumberFormat="1" applyFont="1" applyFill="1" applyBorder="1" applyAlignment="1">
      <alignment vertical="center"/>
    </xf>
    <xf numFmtId="0" fontId="0" fillId="0" borderId="3" xfId="0" quotePrefix="1" applyBorder="1" applyAlignment="1">
      <alignment horizontal="right" indent="11"/>
    </xf>
    <xf numFmtId="43" fontId="0" fillId="0" borderId="0" xfId="1" applyFont="1" applyFill="1"/>
    <xf numFmtId="43" fontId="0" fillId="0" borderId="0" xfId="1" applyFont="1"/>
    <xf numFmtId="43" fontId="0" fillId="0" borderId="0" xfId="1" applyFont="1" applyAlignment="1">
      <alignment horizontal="center"/>
    </xf>
    <xf numFmtId="0" fontId="0" fillId="2" borderId="11" xfId="0" applyFill="1" applyBorder="1" applyAlignment="1">
      <alignment horizontal="center"/>
    </xf>
    <xf numFmtId="0" fontId="0" fillId="0" borderId="3" xfId="0" quotePrefix="1" applyBorder="1"/>
    <xf numFmtId="0" fontId="0" fillId="0" borderId="3" xfId="0" applyBorder="1" applyAlignment="1">
      <alignment horizontal="left" vertical="center"/>
    </xf>
    <xf numFmtId="0" fontId="19" fillId="0" borderId="0" xfId="0" applyFont="1"/>
    <xf numFmtId="0" fontId="22" fillId="0" borderId="0" xfId="0" applyFont="1"/>
    <xf numFmtId="165" fontId="0" fillId="9" borderId="3" xfId="1" applyNumberFormat="1" applyFont="1" applyFill="1" applyBorder="1" applyAlignment="1">
      <alignment vertical="center"/>
    </xf>
    <xf numFmtId="0" fontId="22" fillId="0" borderId="3" xfId="0" applyFont="1" applyBorder="1" applyAlignment="1">
      <alignment horizontal="center"/>
    </xf>
    <xf numFmtId="0" fontId="0" fillId="0" borderId="3" xfId="0" quotePrefix="1" applyBorder="1" applyAlignment="1">
      <alignment horizontal="right" indent="2"/>
    </xf>
    <xf numFmtId="0" fontId="0" fillId="0" borderId="3" xfId="0" quotePrefix="1" applyBorder="1" applyAlignment="1">
      <alignment horizontal="right" indent="1"/>
    </xf>
    <xf numFmtId="0" fontId="16" fillId="0" borderId="0" xfId="0" applyFont="1"/>
    <xf numFmtId="0" fontId="16" fillId="0" borderId="4" xfId="0" applyFont="1" applyBorder="1" applyAlignment="1">
      <alignment horizontal="center" wrapText="1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25" fillId="0" borderId="3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center" wrapText="1"/>
    </xf>
    <xf numFmtId="44" fontId="25" fillId="0" borderId="19" xfId="0" applyNumberFormat="1" applyFont="1" applyBorder="1"/>
    <xf numFmtId="0" fontId="2" fillId="0" borderId="10" xfId="0" applyFont="1" applyBorder="1"/>
    <xf numFmtId="165" fontId="0" fillId="0" borderId="5" xfId="1" applyNumberFormat="1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5" xfId="0" applyBorder="1" applyAlignment="1">
      <alignment horizontal="center"/>
    </xf>
    <xf numFmtId="165" fontId="16" fillId="0" borderId="5" xfId="1" applyNumberFormat="1" applyFont="1" applyBorder="1" applyAlignment="1">
      <alignment horizontal="center"/>
    </xf>
    <xf numFmtId="165" fontId="16" fillId="0" borderId="5" xfId="1" applyNumberFormat="1" applyFont="1" applyBorder="1" applyAlignment="1">
      <alignment horizontal="right"/>
    </xf>
    <xf numFmtId="165" fontId="16" fillId="0" borderId="5" xfId="0" applyNumberFormat="1" applyFont="1" applyBorder="1"/>
    <xf numFmtId="0" fontId="16" fillId="0" borderId="20" xfId="0" applyFont="1" applyBorder="1"/>
    <xf numFmtId="165" fontId="16" fillId="10" borderId="5" xfId="1" applyNumberFormat="1" applyFont="1" applyFill="1" applyBorder="1" applyAlignment="1">
      <alignment horizontal="center"/>
    </xf>
    <xf numFmtId="3" fontId="0" fillId="10" borderId="10" xfId="0" applyNumberFormat="1" applyFill="1" applyBorder="1" applyAlignment="1">
      <alignment horizontal="center"/>
    </xf>
    <xf numFmtId="0" fontId="0" fillId="10" borderId="5" xfId="0" applyFill="1" applyBorder="1" applyAlignment="1">
      <alignment horizontal="center"/>
    </xf>
    <xf numFmtId="165" fontId="0" fillId="10" borderId="5" xfId="1" applyNumberFormat="1" applyFont="1" applyFill="1" applyBorder="1" applyAlignment="1">
      <alignment horizontal="center"/>
    </xf>
    <xf numFmtId="165" fontId="16" fillId="8" borderId="5" xfId="1" applyNumberFormat="1" applyFont="1" applyFill="1" applyBorder="1" applyAlignment="1">
      <alignment horizontal="right"/>
    </xf>
    <xf numFmtId="9" fontId="16" fillId="0" borderId="0" xfId="2" applyFont="1"/>
    <xf numFmtId="165" fontId="16" fillId="8" borderId="20" xfId="1" applyNumberFormat="1" applyFont="1" applyFill="1" applyBorder="1"/>
    <xf numFmtId="0" fontId="16" fillId="10" borderId="20" xfId="0" applyFont="1" applyFill="1" applyBorder="1"/>
    <xf numFmtId="0" fontId="0" fillId="0" borderId="12" xfId="0" applyBorder="1"/>
    <xf numFmtId="165" fontId="16" fillId="0" borderId="6" xfId="1" applyNumberFormat="1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6" xfId="0" applyBorder="1" applyAlignment="1">
      <alignment horizontal="center"/>
    </xf>
    <xf numFmtId="165" fontId="0" fillId="0" borderId="6" xfId="1" applyNumberFormat="1" applyFont="1" applyBorder="1" applyAlignment="1">
      <alignment horizontal="center"/>
    </xf>
    <xf numFmtId="165" fontId="16" fillId="0" borderId="6" xfId="1" applyNumberFormat="1" applyFont="1" applyFill="1" applyBorder="1" applyAlignment="1">
      <alignment horizontal="center"/>
    </xf>
    <xf numFmtId="0" fontId="16" fillId="0" borderId="6" xfId="0" applyFont="1" applyBorder="1"/>
    <xf numFmtId="0" fontId="2" fillId="0" borderId="7" xfId="0" applyFont="1" applyBorder="1"/>
    <xf numFmtId="165" fontId="16" fillId="0" borderId="4" xfId="1" applyNumberFormat="1" applyFont="1" applyBorder="1" applyAlignment="1">
      <alignment horizontal="center"/>
    </xf>
    <xf numFmtId="165" fontId="0" fillId="0" borderId="4" xfId="1" applyNumberFormat="1" applyFont="1" applyBorder="1" applyAlignment="1">
      <alignment horizontal="center"/>
    </xf>
    <xf numFmtId="165" fontId="16" fillId="0" borderId="4" xfId="1" applyNumberFormat="1" applyFont="1" applyFill="1" applyBorder="1" applyAlignment="1">
      <alignment horizontal="center"/>
    </xf>
    <xf numFmtId="0" fontId="16" fillId="0" borderId="4" xfId="0" applyFont="1" applyBorder="1"/>
    <xf numFmtId="165" fontId="0" fillId="10" borderId="5" xfId="1" applyNumberFormat="1" applyFont="1" applyFill="1" applyBorder="1" applyAlignment="1"/>
    <xf numFmtId="165" fontId="0" fillId="0" borderId="5" xfId="1" applyNumberFormat="1" applyFont="1" applyBorder="1" applyAlignment="1"/>
    <xf numFmtId="165" fontId="16" fillId="10" borderId="5" xfId="1" applyNumberFormat="1" applyFont="1" applyFill="1" applyBorder="1" applyAlignment="1">
      <alignment horizontal="right"/>
    </xf>
    <xf numFmtId="165" fontId="16" fillId="10" borderId="5" xfId="1" applyNumberFormat="1" applyFont="1" applyFill="1" applyBorder="1" applyAlignment="1"/>
    <xf numFmtId="170" fontId="16" fillId="0" borderId="0" xfId="0" applyNumberFormat="1" applyFont="1"/>
    <xf numFmtId="165" fontId="0" fillId="0" borderId="0" xfId="1" applyNumberFormat="1" applyFont="1" applyFill="1" applyBorder="1"/>
    <xf numFmtId="165" fontId="0" fillId="0" borderId="6" xfId="1" applyNumberFormat="1" applyFont="1" applyBorder="1" applyAlignment="1"/>
    <xf numFmtId="165" fontId="16" fillId="0" borderId="6" xfId="1" applyNumberFormat="1" applyFont="1" applyBorder="1" applyAlignment="1"/>
    <xf numFmtId="165" fontId="16" fillId="0" borderId="6" xfId="1" applyNumberFormat="1" applyFont="1" applyBorder="1" applyAlignment="1">
      <alignment horizontal="right"/>
    </xf>
    <xf numFmtId="165" fontId="16" fillId="0" borderId="6" xfId="0" applyNumberFormat="1" applyFont="1" applyBorder="1"/>
    <xf numFmtId="165" fontId="0" fillId="0" borderId="4" xfId="1" applyNumberFormat="1" applyFont="1" applyBorder="1"/>
    <xf numFmtId="0" fontId="0" fillId="0" borderId="4" xfId="0" applyBorder="1"/>
    <xf numFmtId="165" fontId="0" fillId="0" borderId="4" xfId="1" applyNumberFormat="1" applyFont="1" applyBorder="1" applyAlignment="1"/>
    <xf numFmtId="165" fontId="16" fillId="0" borderId="4" xfId="1" applyNumberFormat="1" applyFont="1" applyBorder="1" applyAlignment="1"/>
    <xf numFmtId="43" fontId="16" fillId="0" borderId="4" xfId="0" applyNumberFormat="1" applyFont="1" applyBorder="1"/>
    <xf numFmtId="43" fontId="16" fillId="0" borderId="0" xfId="0" applyNumberFormat="1" applyFont="1"/>
    <xf numFmtId="43" fontId="16" fillId="0" borderId="20" xfId="0" applyNumberFormat="1" applyFont="1" applyBorder="1"/>
    <xf numFmtId="165" fontId="0" fillId="0" borderId="0" xfId="1" applyNumberFormat="1" applyFont="1" applyBorder="1"/>
    <xf numFmtId="165" fontId="0" fillId="0" borderId="5" xfId="1" applyNumberFormat="1" applyFont="1" applyBorder="1"/>
    <xf numFmtId="0" fontId="0" fillId="0" borderId="5" xfId="0" applyBorder="1"/>
    <xf numFmtId="165" fontId="16" fillId="0" borderId="5" xfId="1" applyNumberFormat="1" applyFont="1" applyBorder="1" applyAlignment="1"/>
    <xf numFmtId="0" fontId="16" fillId="0" borderId="5" xfId="0" applyFont="1" applyBorder="1"/>
    <xf numFmtId="165" fontId="16" fillId="0" borderId="5" xfId="1" applyNumberFormat="1" applyFont="1" applyFill="1" applyBorder="1"/>
    <xf numFmtId="0" fontId="16" fillId="8" borderId="10" xfId="0" applyFont="1" applyFill="1" applyBorder="1" applyAlignment="1">
      <alignment horizontal="center"/>
    </xf>
    <xf numFmtId="165" fontId="0" fillId="0" borderId="5" xfId="1" applyNumberFormat="1" applyFont="1" applyFill="1" applyBorder="1" applyAlignment="1"/>
    <xf numFmtId="43" fontId="0" fillId="0" borderId="5" xfId="1" applyFont="1" applyFill="1" applyBorder="1"/>
    <xf numFmtId="43" fontId="16" fillId="10" borderId="5" xfId="1" applyFont="1" applyFill="1" applyBorder="1"/>
    <xf numFmtId="0" fontId="0" fillId="0" borderId="5" xfId="0" applyBorder="1" applyAlignment="1">
      <alignment horizontal="center" vertical="center"/>
    </xf>
    <xf numFmtId="165" fontId="0" fillId="0" borderId="0" xfId="1" applyNumberFormat="1" applyFont="1" applyBorder="1" applyAlignment="1">
      <alignment vertical="center"/>
    </xf>
    <xf numFmtId="165" fontId="0" fillId="0" borderId="5" xfId="1" applyNumberFormat="1" applyFont="1" applyFill="1" applyBorder="1" applyAlignment="1">
      <alignment vertical="center"/>
    </xf>
    <xf numFmtId="165" fontId="16" fillId="10" borderId="5" xfId="1" applyNumberFormat="1" applyFont="1" applyFill="1" applyBorder="1" applyAlignment="1">
      <alignment vertical="center"/>
    </xf>
    <xf numFmtId="43" fontId="16" fillId="0" borderId="5" xfId="1" applyFont="1" applyFill="1" applyBorder="1"/>
    <xf numFmtId="43" fontId="0" fillId="0" borderId="5" xfId="1" applyFont="1" applyBorder="1"/>
    <xf numFmtId="165" fontId="16" fillId="0" borderId="5" xfId="1" applyNumberFormat="1" applyFont="1" applyFill="1" applyBorder="1" applyAlignment="1"/>
    <xf numFmtId="165" fontId="16" fillId="0" borderId="5" xfId="1" applyNumberFormat="1" applyFont="1" applyFill="1" applyBorder="1" applyAlignment="1">
      <alignment horizontal="right"/>
    </xf>
    <xf numFmtId="44" fontId="0" fillId="0" borderId="0" xfId="0" applyNumberFormat="1"/>
    <xf numFmtId="165" fontId="0" fillId="8" borderId="5" xfId="1" applyNumberFormat="1" applyFont="1" applyFill="1" applyBorder="1"/>
    <xf numFmtId="165" fontId="16" fillId="8" borderId="5" xfId="1" applyNumberFormat="1" applyFont="1" applyFill="1" applyBorder="1"/>
    <xf numFmtId="0" fontId="16" fillId="0" borderId="10" xfId="0" applyFont="1" applyBorder="1"/>
    <xf numFmtId="0" fontId="0" fillId="0" borderId="0" xfId="0" quotePrefix="1" applyAlignment="1">
      <alignment horizontal="left" indent="10"/>
    </xf>
    <xf numFmtId="165" fontId="16" fillId="10" borderId="5" xfId="1" applyNumberFormat="1" applyFont="1" applyFill="1" applyBorder="1"/>
    <xf numFmtId="165" fontId="16" fillId="0" borderId="20" xfId="1" applyNumberFormat="1" applyFont="1" applyFill="1" applyBorder="1"/>
    <xf numFmtId="0" fontId="8" fillId="8" borderId="10" xfId="0" applyFont="1" applyFill="1" applyBorder="1" applyAlignment="1">
      <alignment horizontal="center"/>
    </xf>
    <xf numFmtId="165" fontId="0" fillId="0" borderId="6" xfId="1" applyNumberFormat="1" applyFont="1" applyBorder="1"/>
    <xf numFmtId="165" fontId="16" fillId="0" borderId="6" xfId="1" applyNumberFormat="1" applyFont="1" applyBorder="1"/>
    <xf numFmtId="165" fontId="2" fillId="0" borderId="3" xfId="1" applyNumberFormat="1" applyFont="1" applyBorder="1"/>
    <xf numFmtId="165" fontId="9" fillId="0" borderId="3" xfId="1" applyNumberFormat="1" applyFont="1" applyBorder="1"/>
    <xf numFmtId="0" fontId="19" fillId="0" borderId="10" xfId="0" applyFont="1" applyBorder="1"/>
    <xf numFmtId="0" fontId="19" fillId="0" borderId="5" xfId="0" applyFont="1" applyBorder="1"/>
    <xf numFmtId="165" fontId="26" fillId="0" borderId="13" xfId="1" applyNumberFormat="1" applyFont="1" applyBorder="1"/>
    <xf numFmtId="165" fontId="26" fillId="0" borderId="3" xfId="1" applyNumberFormat="1" applyFont="1" applyBorder="1"/>
    <xf numFmtId="165" fontId="26" fillId="0" borderId="11" xfId="1" applyNumberFormat="1" applyFont="1" applyBorder="1"/>
    <xf numFmtId="0" fontId="0" fillId="0" borderId="3" xfId="0" applyBorder="1" applyAlignment="1">
      <alignment horizontal="center" wrapText="1"/>
    </xf>
    <xf numFmtId="0" fontId="0" fillId="0" borderId="13" xfId="0" applyBorder="1" applyAlignment="1">
      <alignment horizontal="center"/>
    </xf>
    <xf numFmtId="0" fontId="16" fillId="0" borderId="3" xfId="0" applyFont="1" applyBorder="1" applyAlignment="1">
      <alignment horizontal="center" wrapText="1"/>
    </xf>
    <xf numFmtId="168" fontId="0" fillId="0" borderId="5" xfId="0" applyNumberFormat="1" applyBorder="1"/>
    <xf numFmtId="168" fontId="16" fillId="0" borderId="5" xfId="0" applyNumberFormat="1" applyFont="1" applyBorder="1"/>
    <xf numFmtId="0" fontId="16" fillId="11" borderId="10" xfId="0" applyFont="1" applyFill="1" applyBorder="1" applyAlignment="1">
      <alignment horizontal="center"/>
    </xf>
    <xf numFmtId="165" fontId="16" fillId="0" borderId="5" xfId="1" applyNumberFormat="1" applyFont="1" applyBorder="1"/>
    <xf numFmtId="165" fontId="16" fillId="12" borderId="20" xfId="1" applyNumberFormat="1" applyFont="1" applyFill="1" applyBorder="1"/>
    <xf numFmtId="165" fontId="16" fillId="0" borderId="0" xfId="0" applyNumberFormat="1" applyFont="1"/>
    <xf numFmtId="0" fontId="16" fillId="0" borderId="0" xfId="0" applyFont="1" applyAlignment="1">
      <alignment horizontal="left" indent="11"/>
    </xf>
    <xf numFmtId="165" fontId="16" fillId="10" borderId="20" xfId="1" applyNumberFormat="1" applyFont="1" applyFill="1" applyBorder="1"/>
    <xf numFmtId="165" fontId="16" fillId="0" borderId="6" xfId="1" applyNumberFormat="1" applyFont="1" applyFill="1" applyBorder="1"/>
    <xf numFmtId="165" fontId="0" fillId="0" borderId="5" xfId="1" applyNumberFormat="1" applyFont="1" applyFill="1" applyBorder="1"/>
    <xf numFmtId="168" fontId="0" fillId="11" borderId="10" xfId="0" applyNumberFormat="1" applyFill="1" applyBorder="1" applyAlignment="1">
      <alignment horizontal="center"/>
    </xf>
    <xf numFmtId="43" fontId="0" fillId="0" borderId="0" xfId="0" applyNumberFormat="1" applyAlignment="1">
      <alignment horizontal="center"/>
    </xf>
    <xf numFmtId="1" fontId="0" fillId="11" borderId="10" xfId="0" applyNumberFormat="1" applyFill="1" applyBorder="1" applyAlignment="1">
      <alignment horizontal="center"/>
    </xf>
    <xf numFmtId="165" fontId="16" fillId="0" borderId="0" xfId="1" applyNumberFormat="1" applyFont="1" applyFill="1" applyBorder="1"/>
    <xf numFmtId="165" fontId="26" fillId="0" borderId="0" xfId="1" applyNumberFormat="1" applyFont="1" applyBorder="1"/>
    <xf numFmtId="165" fontId="26" fillId="0" borderId="11" xfId="0" applyNumberFormat="1" applyFont="1" applyBorder="1"/>
    <xf numFmtId="165" fontId="16" fillId="0" borderId="0" xfId="1" applyNumberFormat="1" applyFont="1" applyBorder="1"/>
    <xf numFmtId="165" fontId="16" fillId="0" borderId="11" xfId="1" applyNumberFormat="1" applyFont="1" applyBorder="1"/>
    <xf numFmtId="165" fontId="2" fillId="0" borderId="1" xfId="1" applyNumberFormat="1" applyFont="1" applyBorder="1"/>
    <xf numFmtId="165" fontId="9" fillId="0" borderId="1" xfId="1" applyNumberFormat="1" applyFont="1" applyBorder="1"/>
    <xf numFmtId="165" fontId="9" fillId="0" borderId="14" xfId="1" applyNumberFormat="1" applyFont="1" applyBorder="1"/>
    <xf numFmtId="0" fontId="19" fillId="0" borderId="12" xfId="0" applyFont="1" applyBorder="1"/>
    <xf numFmtId="0" fontId="19" fillId="0" borderId="2" xfId="0" applyFont="1" applyBorder="1"/>
    <xf numFmtId="43" fontId="19" fillId="0" borderId="2" xfId="0" applyNumberFormat="1" applyFont="1" applyBorder="1"/>
    <xf numFmtId="43" fontId="26" fillId="0" borderId="2" xfId="0" applyNumberFormat="1" applyFont="1" applyBorder="1"/>
    <xf numFmtId="43" fontId="26" fillId="0" borderId="18" xfId="0" applyNumberFormat="1" applyFont="1" applyBorder="1"/>
    <xf numFmtId="165" fontId="16" fillId="0" borderId="0" xfId="1" applyNumberFormat="1" applyFont="1"/>
    <xf numFmtId="165" fontId="0" fillId="0" borderId="2" xfId="1" applyNumberFormat="1" applyFont="1" applyBorder="1"/>
    <xf numFmtId="165" fontId="16" fillId="0" borderId="2" xfId="1" applyNumberFormat="1" applyFont="1" applyBorder="1"/>
    <xf numFmtId="165" fontId="0" fillId="0" borderId="0" xfId="1" applyNumberFormat="1" applyFont="1" applyFill="1"/>
    <xf numFmtId="165" fontId="16" fillId="0" borderId="0" xfId="1" applyNumberFormat="1" applyFont="1" applyFill="1"/>
    <xf numFmtId="43" fontId="16" fillId="0" borderId="0" xfId="1" applyFont="1"/>
    <xf numFmtId="170" fontId="0" fillId="0" borderId="0" xfId="0" applyNumberFormat="1"/>
    <xf numFmtId="165" fontId="0" fillId="0" borderId="5" xfId="1" applyNumberFormat="1" applyFont="1" applyBorder="1" applyAlignment="1">
      <alignment horizontal="right"/>
    </xf>
    <xf numFmtId="165" fontId="0" fillId="0" borderId="5" xfId="0" applyNumberFormat="1" applyBorder="1"/>
    <xf numFmtId="0" fontId="0" fillId="0" borderId="20" xfId="0" applyBorder="1"/>
    <xf numFmtId="165" fontId="0" fillId="0" borderId="6" xfId="1" applyNumberFormat="1" applyFont="1" applyBorder="1" applyAlignment="1">
      <alignment horizontal="right"/>
    </xf>
    <xf numFmtId="165" fontId="0" fillId="0" borderId="6" xfId="0" applyNumberFormat="1" applyBorder="1"/>
    <xf numFmtId="43" fontId="0" fillId="0" borderId="4" xfId="0" applyNumberFormat="1" applyBorder="1"/>
    <xf numFmtId="43" fontId="0" fillId="0" borderId="20" xfId="0" applyNumberFormat="1" applyBorder="1"/>
    <xf numFmtId="165" fontId="0" fillId="8" borderId="20" xfId="1" applyNumberFormat="1" applyFont="1" applyFill="1" applyBorder="1"/>
    <xf numFmtId="165" fontId="0" fillId="0" borderId="20" xfId="1" applyNumberFormat="1" applyFont="1" applyFill="1" applyBorder="1"/>
    <xf numFmtId="0" fontId="0" fillId="0" borderId="21" xfId="0" applyBorder="1"/>
    <xf numFmtId="165" fontId="19" fillId="0" borderId="13" xfId="1" applyNumberFormat="1" applyFont="1" applyBorder="1"/>
    <xf numFmtId="165" fontId="19" fillId="0" borderId="3" xfId="1" applyNumberFormat="1" applyFont="1" applyBorder="1"/>
    <xf numFmtId="165" fontId="19" fillId="0" borderId="11" xfId="1" applyNumberFormat="1" applyFont="1" applyBorder="1"/>
    <xf numFmtId="0" fontId="0" fillId="0" borderId="22" xfId="0" applyBorder="1"/>
    <xf numFmtId="165" fontId="0" fillId="12" borderId="20" xfId="1" applyNumberFormat="1" applyFont="1" applyFill="1" applyBorder="1"/>
    <xf numFmtId="165" fontId="0" fillId="0" borderId="6" xfId="1" applyNumberFormat="1" applyFont="1" applyFill="1" applyBorder="1"/>
    <xf numFmtId="165" fontId="19" fillId="0" borderId="0" xfId="1" applyNumberFormat="1" applyFont="1" applyBorder="1"/>
    <xf numFmtId="165" fontId="19" fillId="0" borderId="11" xfId="0" applyNumberFormat="1" applyFont="1" applyBorder="1"/>
    <xf numFmtId="165" fontId="0" fillId="0" borderId="11" xfId="1" applyNumberFormat="1" applyFont="1" applyBorder="1"/>
    <xf numFmtId="165" fontId="2" fillId="0" borderId="14" xfId="1" applyNumberFormat="1" applyFont="1" applyBorder="1"/>
    <xf numFmtId="165" fontId="19" fillId="0" borderId="18" xfId="0" applyNumberFormat="1" applyFont="1" applyBorder="1"/>
    <xf numFmtId="0" fontId="20" fillId="0" borderId="0" xfId="0" applyFont="1"/>
    <xf numFmtId="44" fontId="16" fillId="0" borderId="20" xfId="0" applyNumberFormat="1" applyFont="1" applyBorder="1"/>
    <xf numFmtId="165" fontId="16" fillId="0" borderId="4" xfId="1" applyNumberFormat="1" applyFont="1" applyBorder="1"/>
    <xf numFmtId="171" fontId="16" fillId="0" borderId="0" xfId="2" applyNumberFormat="1" applyFont="1"/>
    <xf numFmtId="0" fontId="26" fillId="0" borderId="5" xfId="0" applyFont="1" applyBorder="1"/>
    <xf numFmtId="44" fontId="16" fillId="0" borderId="0" xfId="3" applyFont="1" applyFill="1"/>
    <xf numFmtId="170" fontId="16" fillId="0" borderId="20" xfId="0" applyNumberFormat="1" applyFont="1" applyBorder="1"/>
    <xf numFmtId="0" fontId="26" fillId="0" borderId="0" xfId="0" applyFont="1"/>
    <xf numFmtId="0" fontId="26" fillId="0" borderId="2" xfId="0" applyFont="1" applyBorder="1"/>
    <xf numFmtId="165" fontId="19" fillId="0" borderId="2" xfId="0" applyNumberFormat="1" applyFont="1" applyBorder="1"/>
    <xf numFmtId="165" fontId="26" fillId="0" borderId="2" xfId="0" applyNumberFormat="1" applyFont="1" applyBorder="1"/>
    <xf numFmtId="165" fontId="26" fillId="0" borderId="18" xfId="0" applyNumberFormat="1" applyFont="1" applyBorder="1"/>
    <xf numFmtId="44" fontId="16" fillId="0" borderId="0" xfId="0" applyNumberFormat="1" applyFont="1"/>
    <xf numFmtId="165" fontId="0" fillId="8" borderId="0" xfId="1" applyNumberFormat="1" applyFont="1" applyFill="1" applyBorder="1"/>
    <xf numFmtId="0" fontId="0" fillId="8" borderId="10" xfId="0" applyFill="1" applyBorder="1" applyAlignment="1">
      <alignment horizontal="center"/>
    </xf>
    <xf numFmtId="0" fontId="27" fillId="0" borderId="0" xfId="0" applyFont="1"/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0" xfId="0" applyNumberFormat="1" applyBorder="1"/>
    <xf numFmtId="43" fontId="2" fillId="0" borderId="0" xfId="0" applyNumberFormat="1" applyFont="1" applyBorder="1"/>
    <xf numFmtId="9" fontId="16" fillId="0" borderId="0" xfId="2" applyFont="1" applyFill="1"/>
    <xf numFmtId="165" fontId="26" fillId="13" borderId="0" xfId="0" applyNumberFormat="1" applyFont="1" applyFill="1"/>
    <xf numFmtId="0" fontId="28" fillId="0" borderId="0" xfId="0" applyFont="1"/>
    <xf numFmtId="0" fontId="0" fillId="0" borderId="0" xfId="0" applyFill="1" applyAlignment="1">
      <alignment horizontal="center" wrapText="1"/>
    </xf>
    <xf numFmtId="9" fontId="0" fillId="0" borderId="0" xfId="0" applyNumberFormat="1" applyFill="1"/>
    <xf numFmtId="0" fontId="0" fillId="0" borderId="0" xfId="0" applyFill="1" applyAlignment="1">
      <alignment horizontal="center"/>
    </xf>
    <xf numFmtId="9" fontId="0" fillId="0" borderId="0" xfId="2" applyFont="1" applyFill="1"/>
    <xf numFmtId="165" fontId="0" fillId="0" borderId="1" xfId="1" applyNumberFormat="1" applyFont="1" applyBorder="1"/>
    <xf numFmtId="0" fontId="0" fillId="0" borderId="0" xfId="0" applyAlignment="1">
      <alignment horizontal="left" indent="1"/>
    </xf>
    <xf numFmtId="0" fontId="0" fillId="0" borderId="0" xfId="0" applyAlignment="1"/>
    <xf numFmtId="171" fontId="1" fillId="0" borderId="0" xfId="2" applyNumberFormat="1" applyFont="1" applyFill="1"/>
    <xf numFmtId="43" fontId="1" fillId="0" borderId="0" xfId="1" applyNumberFormat="1" applyFont="1" applyFill="1"/>
    <xf numFmtId="0" fontId="0" fillId="0" borderId="0" xfId="0" applyAlignment="1">
      <alignment horizontal="center"/>
    </xf>
    <xf numFmtId="0" fontId="0" fillId="0" borderId="13" xfId="0" applyBorder="1" applyAlignment="1">
      <alignment horizontal="center"/>
    </xf>
    <xf numFmtId="165" fontId="2" fillId="0" borderId="0" xfId="0" applyNumberFormat="1" applyFont="1"/>
    <xf numFmtId="164" fontId="0" fillId="0" borderId="0" xfId="0" applyNumberFormat="1" applyFill="1"/>
    <xf numFmtId="165" fontId="16" fillId="0" borderId="5" xfId="0" applyNumberFormat="1" applyFont="1" applyFill="1" applyBorder="1"/>
    <xf numFmtId="0" fontId="19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Fill="1" applyAlignment="1"/>
    <xf numFmtId="165" fontId="0" fillId="0" borderId="0" xfId="0" applyNumberFormat="1" applyAlignment="1">
      <alignment horizontal="center"/>
    </xf>
    <xf numFmtId="0" fontId="0" fillId="2" borderId="6" xfId="0" applyFill="1" applyBorder="1" applyAlignment="1"/>
    <xf numFmtId="0" fontId="0" fillId="0" borderId="13" xfId="0" applyBorder="1" applyAlignment="1">
      <alignment horizontal="center"/>
    </xf>
    <xf numFmtId="0" fontId="0" fillId="0" borderId="0" xfId="0" applyFont="1"/>
    <xf numFmtId="165" fontId="0" fillId="0" borderId="0" xfId="0" applyNumberFormat="1" applyFill="1"/>
    <xf numFmtId="0" fontId="16" fillId="0" borderId="0" xfId="0" applyFont="1" applyFill="1"/>
    <xf numFmtId="168" fontId="0" fillId="0" borderId="10" xfId="0" applyNumberFormat="1" applyFill="1" applyBorder="1" applyAlignment="1">
      <alignment horizontal="center"/>
    </xf>
    <xf numFmtId="1" fontId="0" fillId="0" borderId="10" xfId="0" applyNumberForma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1" fontId="0" fillId="0" borderId="0" xfId="0" applyNumberFormat="1" applyFill="1"/>
    <xf numFmtId="0" fontId="0" fillId="0" borderId="13" xfId="0" applyBorder="1" applyAlignment="1">
      <alignment horizontal="center"/>
    </xf>
    <xf numFmtId="44" fontId="0" fillId="0" borderId="0" xfId="3" applyFont="1" applyFill="1"/>
    <xf numFmtId="0" fontId="2" fillId="0" borderId="10" xfId="0" applyFont="1" applyFill="1" applyBorder="1"/>
    <xf numFmtId="0" fontId="16" fillId="0" borderId="10" xfId="0" applyFont="1" applyFill="1" applyBorder="1" applyAlignment="1">
      <alignment horizontal="center"/>
    </xf>
    <xf numFmtId="170" fontId="16" fillId="0" borderId="0" xfId="0" applyNumberFormat="1" applyFont="1" applyFill="1"/>
    <xf numFmtId="0" fontId="2" fillId="0" borderId="10" xfId="0" applyFont="1" applyBorder="1" applyAlignment="1">
      <alignment horizontal="left" indent="1"/>
    </xf>
    <xf numFmtId="0" fontId="0" fillId="0" borderId="3" xfId="0" applyFill="1" applyBorder="1"/>
    <xf numFmtId="0" fontId="0" fillId="0" borderId="0" xfId="0" applyAlignment="1">
      <alignment horizontal="center"/>
    </xf>
    <xf numFmtId="0" fontId="8" fillId="0" borderId="0" xfId="0" applyFont="1" applyFill="1" applyBorder="1"/>
    <xf numFmtId="0" fontId="9" fillId="0" borderId="0" xfId="0" applyFont="1" applyFill="1"/>
    <xf numFmtId="0" fontId="9" fillId="0" borderId="0" xfId="0" applyFont="1" applyFill="1" applyAlignment="1">
      <alignment horizontal="right"/>
    </xf>
    <xf numFmtId="165" fontId="9" fillId="0" borderId="0" xfId="1" applyNumberFormat="1" applyFont="1" applyFill="1"/>
    <xf numFmtId="165" fontId="30" fillId="0" borderId="0" xfId="1" applyNumberFormat="1" applyFont="1" applyFill="1"/>
    <xf numFmtId="0" fontId="0" fillId="0" borderId="0" xfId="0" applyFill="1" applyAlignment="1">
      <alignment vertical="center" wrapText="1"/>
    </xf>
    <xf numFmtId="0" fontId="0" fillId="0" borderId="8" xfId="0" applyFill="1" applyBorder="1"/>
    <xf numFmtId="0" fontId="0" fillId="0" borderId="2" xfId="0" applyFill="1" applyBorder="1"/>
    <xf numFmtId="0" fontId="0" fillId="0" borderId="0" xfId="0" quotePrefix="1" applyFill="1" applyAlignment="1">
      <alignment horizontal="left" indent="10"/>
    </xf>
    <xf numFmtId="0" fontId="19" fillId="0" borderId="0" xfId="0" applyFont="1" applyFill="1"/>
    <xf numFmtId="0" fontId="0" fillId="0" borderId="0" xfId="0" applyFont="1" applyFill="1"/>
    <xf numFmtId="0" fontId="16" fillId="0" borderId="0" xfId="0" applyFont="1" applyFill="1" applyAlignment="1"/>
    <xf numFmtId="0" fontId="2" fillId="0" borderId="0" xfId="0" applyFont="1" applyFill="1"/>
    <xf numFmtId="0" fontId="19" fillId="0" borderId="2" xfId="0" applyFont="1" applyFill="1" applyBorder="1"/>
    <xf numFmtId="43" fontId="16" fillId="0" borderId="2" xfId="0" applyNumberFormat="1" applyFont="1" applyFill="1" applyBorder="1"/>
    <xf numFmtId="0" fontId="5" fillId="0" borderId="10" xfId="0" applyFont="1" applyFill="1" applyBorder="1" applyAlignment="1">
      <alignment horizontal="left" indent="1"/>
    </xf>
    <xf numFmtId="0" fontId="31" fillId="0" borderId="10" xfId="0" applyFont="1" applyBorder="1" applyAlignment="1">
      <alignment horizontal="left" indent="1"/>
    </xf>
    <xf numFmtId="0" fontId="31" fillId="0" borderId="10" xfId="0" applyFont="1" applyFill="1" applyBorder="1" applyAlignment="1">
      <alignment horizontal="left" indent="1"/>
    </xf>
    <xf numFmtId="170" fontId="0" fillId="0" borderId="0" xfId="0" applyNumberFormat="1" applyFill="1"/>
    <xf numFmtId="165" fontId="0" fillId="0" borderId="2" xfId="1" applyNumberFormat="1" applyFont="1" applyFill="1" applyBorder="1"/>
    <xf numFmtId="165" fontId="16" fillId="0" borderId="2" xfId="1" applyNumberFormat="1" applyFont="1" applyFill="1" applyBorder="1"/>
    <xf numFmtId="43" fontId="16" fillId="0" borderId="0" xfId="1" applyFont="1" applyFill="1"/>
    <xf numFmtId="165" fontId="2" fillId="0" borderId="1" xfId="1" applyNumberFormat="1" applyFont="1" applyFill="1" applyBorder="1"/>
    <xf numFmtId="165" fontId="9" fillId="0" borderId="1" xfId="1" applyNumberFormat="1" applyFont="1" applyFill="1" applyBorder="1"/>
    <xf numFmtId="165" fontId="9" fillId="0" borderId="14" xfId="1" applyNumberFormat="1" applyFont="1" applyFill="1" applyBorder="1"/>
    <xf numFmtId="165" fontId="2" fillId="0" borderId="3" xfId="1" applyNumberFormat="1" applyFont="1" applyFill="1" applyBorder="1"/>
    <xf numFmtId="165" fontId="9" fillId="0" borderId="3" xfId="1" applyNumberFormat="1" applyFont="1" applyFill="1" applyBorder="1"/>
    <xf numFmtId="168" fontId="0" fillId="15" borderId="10" xfId="0" applyNumberFormat="1" applyFill="1" applyBorder="1" applyAlignment="1">
      <alignment horizontal="center"/>
    </xf>
    <xf numFmtId="165" fontId="16" fillId="16" borderId="20" xfId="1" applyNumberFormat="1" applyFont="1" applyFill="1" applyBorder="1"/>
    <xf numFmtId="164" fontId="0" fillId="0" borderId="0" xfId="0" applyNumberFormat="1" applyFill="1" applyBorder="1"/>
    <xf numFmtId="164" fontId="0" fillId="0" borderId="0" xfId="0" applyNumberFormat="1" applyFont="1" applyFill="1" applyBorder="1"/>
    <xf numFmtId="0" fontId="0" fillId="0" borderId="0" xfId="0" applyFill="1" applyBorder="1"/>
    <xf numFmtId="0" fontId="16" fillId="15" borderId="10" xfId="0" applyFont="1" applyFill="1" applyBorder="1" applyAlignment="1">
      <alignment horizontal="center"/>
    </xf>
    <xf numFmtId="165" fontId="16" fillId="17" borderId="5" xfId="1" applyNumberFormat="1" applyFont="1" applyFill="1" applyBorder="1" applyAlignment="1">
      <alignment horizontal="right"/>
    </xf>
    <xf numFmtId="165" fontId="0" fillId="0" borderId="5" xfId="1" applyNumberFormat="1" applyFont="1" applyFill="1" applyBorder="1" applyAlignment="1">
      <alignment horizontal="center"/>
    </xf>
    <xf numFmtId="44" fontId="25" fillId="0" borderId="19" xfId="0" applyNumberFormat="1" applyFont="1" applyFill="1" applyBorder="1"/>
    <xf numFmtId="0" fontId="2" fillId="0" borderId="0" xfId="0" applyFont="1" applyFill="1" applyBorder="1"/>
    <xf numFmtId="164" fontId="0" fillId="0" borderId="0" xfId="1" applyNumberFormat="1" applyFont="1" applyFill="1" applyBorder="1"/>
    <xf numFmtId="164" fontId="8" fillId="0" borderId="0" xfId="1" applyNumberFormat="1" applyFont="1" applyFill="1" applyBorder="1"/>
    <xf numFmtId="0" fontId="9" fillId="0" borderId="0" xfId="0" applyFont="1" applyFill="1" applyBorder="1"/>
    <xf numFmtId="0" fontId="16" fillId="0" borderId="0" xfId="0" applyFont="1" applyFill="1" applyBorder="1"/>
    <xf numFmtId="0" fontId="16" fillId="0" borderId="0" xfId="0" applyFont="1" applyFill="1" applyAlignment="1">
      <alignment horizontal="center"/>
    </xf>
    <xf numFmtId="0" fontId="21" fillId="0" borderId="0" xfId="0" applyFont="1" applyFill="1"/>
    <xf numFmtId="165" fontId="0" fillId="0" borderId="3" xfId="1" applyNumberFormat="1" applyFont="1" applyFill="1" applyBorder="1" applyAlignment="1">
      <alignment horizontal="right" vertical="center"/>
    </xf>
    <xf numFmtId="0" fontId="0" fillId="0" borderId="0" xfId="0" applyFont="1" applyFill="1" applyAlignment="1"/>
    <xf numFmtId="165" fontId="16" fillId="0" borderId="18" xfId="0" applyNumberFormat="1" applyFont="1" applyFill="1" applyBorder="1"/>
    <xf numFmtId="165" fontId="26" fillId="0" borderId="18" xfId="0" applyNumberFormat="1" applyFont="1" applyFill="1" applyBorder="1"/>
    <xf numFmtId="17" fontId="0" fillId="0" borderId="0" xfId="0" applyNumberFormat="1" applyFont="1" applyFill="1" applyAlignment="1">
      <alignment horizontal="center"/>
    </xf>
    <xf numFmtId="1" fontId="0" fillId="0" borderId="0" xfId="0" applyNumberFormat="1" applyFont="1" applyFill="1"/>
    <xf numFmtId="1" fontId="1" fillId="0" borderId="0" xfId="1" applyNumberFormat="1" applyFont="1" applyFill="1"/>
    <xf numFmtId="164" fontId="0" fillId="0" borderId="0" xfId="0" applyNumberFormat="1" applyFont="1" applyFill="1"/>
    <xf numFmtId="164" fontId="29" fillId="0" borderId="0" xfId="4" applyNumberFormat="1" applyFont="1" applyFill="1"/>
    <xf numFmtId="0" fontId="32" fillId="0" borderId="0" xfId="0" applyFont="1"/>
    <xf numFmtId="0" fontId="16" fillId="0" borderId="5" xfId="0" applyFont="1" applyFill="1" applyBorder="1"/>
    <xf numFmtId="0" fontId="16" fillId="0" borderId="10" xfId="0" applyFont="1" applyFill="1" applyBorder="1"/>
    <xf numFmtId="0" fontId="0" fillId="0" borderId="5" xfId="0" applyFill="1" applyBorder="1"/>
    <xf numFmtId="0" fontId="0" fillId="0" borderId="10" xfId="0" applyFill="1" applyBorder="1"/>
    <xf numFmtId="0" fontId="19" fillId="0" borderId="5" xfId="0" applyFont="1" applyFill="1" applyBorder="1"/>
    <xf numFmtId="0" fontId="19" fillId="0" borderId="10" xfId="0" applyFont="1" applyFill="1" applyBorder="1"/>
    <xf numFmtId="0" fontId="0" fillId="0" borderId="3" xfId="0" applyFill="1" applyBorder="1" applyAlignment="1">
      <alignment horizontal="center" wrapText="1"/>
    </xf>
    <xf numFmtId="0" fontId="0" fillId="0" borderId="13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3" xfId="0" applyFill="1" applyBorder="1" applyAlignment="1">
      <alignment horizontal="left" vertical="center"/>
    </xf>
    <xf numFmtId="0" fontId="0" fillId="0" borderId="13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wrapText="1"/>
    </xf>
    <xf numFmtId="165" fontId="0" fillId="0" borderId="0" xfId="1" applyNumberFormat="1" applyFont="1" applyAlignment="1">
      <alignment horizontal="left" indent="1"/>
    </xf>
    <xf numFmtId="165" fontId="0" fillId="0" borderId="0" xfId="0" applyNumberFormat="1" applyFont="1"/>
    <xf numFmtId="0" fontId="0" fillId="0" borderId="0" xfId="0" applyAlignment="1">
      <alignment horizontal="left"/>
    </xf>
    <xf numFmtId="0" fontId="34" fillId="0" borderId="0" xfId="0" applyFont="1"/>
    <xf numFmtId="0" fontId="2" fillId="0" borderId="0" xfId="0" applyFont="1" applyAlignment="1">
      <alignment horizontal="center"/>
    </xf>
    <xf numFmtId="165" fontId="0" fillId="0" borderId="0" xfId="1" applyNumberFormat="1" applyFont="1" applyAlignment="1">
      <alignment horizontal="center"/>
    </xf>
    <xf numFmtId="0" fontId="33" fillId="8" borderId="3" xfId="0" applyFont="1" applyFill="1" applyBorder="1"/>
    <xf numFmtId="0" fontId="33" fillId="8" borderId="3" xfId="0" applyFont="1" applyFill="1" applyBorder="1" applyAlignment="1">
      <alignment vertical="center"/>
    </xf>
    <xf numFmtId="0" fontId="33" fillId="8" borderId="3" xfId="0" applyFont="1" applyFill="1" applyBorder="1" applyAlignment="1">
      <alignment wrapText="1"/>
    </xf>
    <xf numFmtId="0" fontId="0" fillId="8" borderId="3" xfId="0" applyFill="1" applyBorder="1" applyAlignment="1">
      <alignment vertical="center"/>
    </xf>
    <xf numFmtId="0" fontId="0" fillId="8" borderId="3" xfId="0" applyFill="1" applyBorder="1"/>
    <xf numFmtId="171" fontId="1" fillId="8" borderId="0" xfId="2" applyNumberFormat="1" applyFont="1" applyFill="1"/>
    <xf numFmtId="171" fontId="0" fillId="8" borderId="0" xfId="2" applyNumberFormat="1" applyFont="1" applyFill="1"/>
    <xf numFmtId="165" fontId="0" fillId="0" borderId="0" xfId="0" applyNumberFormat="1" applyFill="1" applyAlignment="1">
      <alignment horizontal="center" wrapText="1"/>
    </xf>
    <xf numFmtId="43" fontId="0" fillId="0" borderId="0" xfId="0" applyNumberFormat="1" applyFill="1"/>
    <xf numFmtId="165" fontId="0" fillId="0" borderId="0" xfId="1" applyNumberFormat="1" applyFont="1" applyFill="1" applyAlignment="1">
      <alignment horizontal="center"/>
    </xf>
    <xf numFmtId="9" fontId="34" fillId="0" borderId="0" xfId="2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3" xfId="0" applyBorder="1" applyAlignment="1">
      <alignment vertical="center"/>
    </xf>
    <xf numFmtId="43" fontId="16" fillId="0" borderId="5" xfId="1" applyNumberFormat="1" applyFont="1" applyFill="1" applyBorder="1"/>
    <xf numFmtId="165" fontId="26" fillId="0" borderId="0" xfId="0" applyNumberFormat="1" applyFont="1" applyFill="1"/>
    <xf numFmtId="9" fontId="0" fillId="0" borderId="0" xfId="2" applyFont="1" applyAlignment="1">
      <alignment wrapText="1"/>
    </xf>
    <xf numFmtId="168" fontId="16" fillId="15" borderId="1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3" fontId="0" fillId="0" borderId="0" xfId="0" applyNumberFormat="1"/>
    <xf numFmtId="0" fontId="0" fillId="18" borderId="0" xfId="0" applyFill="1"/>
    <xf numFmtId="0" fontId="16" fillId="0" borderId="3" xfId="0" applyFont="1" applyFill="1" applyBorder="1" applyAlignment="1">
      <alignment horizontal="center"/>
    </xf>
    <xf numFmtId="166" fontId="0" fillId="0" borderId="0" xfId="0" applyNumberFormat="1" applyFill="1"/>
    <xf numFmtId="0" fontId="0" fillId="0" borderId="3" xfId="0" applyFill="1" applyBorder="1" applyAlignment="1">
      <alignment vertical="center" wrapText="1"/>
    </xf>
    <xf numFmtId="165" fontId="2" fillId="0" borderId="0" xfId="1" applyNumberFormat="1" applyFont="1"/>
    <xf numFmtId="165" fontId="0" fillId="0" borderId="10" xfId="1" applyNumberFormat="1" applyFont="1" applyBorder="1"/>
    <xf numFmtId="165" fontId="0" fillId="0" borderId="12" xfId="1" applyNumberFormat="1" applyFont="1" applyBorder="1"/>
    <xf numFmtId="165" fontId="2" fillId="0" borderId="10" xfId="1" applyNumberFormat="1" applyFont="1" applyBorder="1"/>
    <xf numFmtId="10" fontId="0" fillId="3" borderId="0" xfId="0" applyNumberFormat="1" applyFill="1"/>
    <xf numFmtId="0" fontId="0" fillId="0" borderId="0" xfId="0" applyAlignment="1">
      <alignment horizontal="center"/>
    </xf>
    <xf numFmtId="172" fontId="0" fillId="0" borderId="10" xfId="1" applyNumberFormat="1" applyFont="1" applyFill="1" applyBorder="1"/>
    <xf numFmtId="172" fontId="0" fillId="0" borderId="0" xfId="1" applyNumberFormat="1" applyFont="1" applyFill="1" applyBorder="1"/>
    <xf numFmtId="10" fontId="0" fillId="0" borderId="0" xfId="0" applyNumberFormat="1" applyAlignment="1">
      <alignment horizontal="center" wrapText="1"/>
    </xf>
    <xf numFmtId="165" fontId="0" fillId="0" borderId="0" xfId="0" applyNumberFormat="1" applyFont="1" applyFill="1"/>
    <xf numFmtId="43" fontId="0" fillId="0" borderId="0" xfId="0" applyNumberFormat="1" applyFont="1" applyFill="1"/>
    <xf numFmtId="0" fontId="2" fillId="0" borderId="0" xfId="0" applyFont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0" fillId="0" borderId="0" xfId="0" applyAlignment="1">
      <alignment horizontal="right"/>
    </xf>
    <xf numFmtId="0" fontId="19" fillId="0" borderId="3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37" fillId="0" borderId="0" xfId="0" applyFont="1"/>
    <xf numFmtId="10" fontId="0" fillId="19" borderId="0" xfId="2" applyNumberFormat="1" applyFont="1" applyFill="1"/>
    <xf numFmtId="0" fontId="16" fillId="0" borderId="0" xfId="0" applyFont="1" applyFill="1" applyAlignment="1">
      <alignment horizontal="left" indent="11"/>
    </xf>
    <xf numFmtId="0" fontId="0" fillId="0" borderId="0" xfId="0" applyFont="1" applyFill="1" applyAlignment="1">
      <alignment wrapText="1"/>
    </xf>
    <xf numFmtId="0" fontId="6" fillId="0" borderId="0" xfId="0" applyFont="1"/>
    <xf numFmtId="1" fontId="2" fillId="0" borderId="0" xfId="0" applyNumberFormat="1" applyFont="1" applyFill="1"/>
    <xf numFmtId="165" fontId="16" fillId="0" borderId="5" xfId="0" applyNumberFormat="1" applyFont="1" applyFill="1" applyBorder="1" applyAlignment="1">
      <alignment vertical="center"/>
    </xf>
    <xf numFmtId="165" fontId="26" fillId="0" borderId="3" xfId="1" applyNumberFormat="1" applyFont="1" applyFill="1" applyBorder="1"/>
    <xf numFmtId="165" fontId="26" fillId="0" borderId="11" xfId="1" applyNumberFormat="1" applyFont="1" applyFill="1" applyBorder="1"/>
    <xf numFmtId="0" fontId="16" fillId="0" borderId="3" xfId="0" applyFont="1" applyFill="1" applyBorder="1" applyAlignment="1">
      <alignment horizontal="center" wrapText="1"/>
    </xf>
    <xf numFmtId="168" fontId="16" fillId="0" borderId="5" xfId="0" applyNumberFormat="1" applyFont="1" applyFill="1" applyBorder="1"/>
    <xf numFmtId="165" fontId="26" fillId="0" borderId="0" xfId="1" applyNumberFormat="1" applyFont="1" applyFill="1" applyBorder="1"/>
    <xf numFmtId="165" fontId="26" fillId="0" borderId="11" xfId="0" applyNumberFormat="1" applyFont="1" applyFill="1" applyBorder="1"/>
    <xf numFmtId="43" fontId="26" fillId="0" borderId="2" xfId="0" applyNumberFormat="1" applyFont="1" applyFill="1" applyBorder="1"/>
    <xf numFmtId="168" fontId="0" fillId="0" borderId="5" xfId="0" applyNumberFormat="1" applyFill="1" applyBorder="1"/>
    <xf numFmtId="165" fontId="16" fillId="20" borderId="5" xfId="1" applyNumberFormat="1" applyFont="1" applyFill="1" applyBorder="1"/>
    <xf numFmtId="165" fontId="16" fillId="20" borderId="6" xfId="1" applyNumberFormat="1" applyFont="1" applyFill="1" applyBorder="1"/>
    <xf numFmtId="165" fontId="16" fillId="20" borderId="5" xfId="1" applyNumberFormat="1" applyFont="1" applyFill="1" applyBorder="1" applyAlignment="1">
      <alignment horizontal="right"/>
    </xf>
    <xf numFmtId="165" fontId="16" fillId="20" borderId="5" xfId="0" applyNumberFormat="1" applyFont="1" applyFill="1" applyBorder="1"/>
    <xf numFmtId="165" fontId="16" fillId="20" borderId="5" xfId="0" applyNumberFormat="1" applyFont="1" applyFill="1" applyBorder="1" applyAlignment="1">
      <alignment vertical="center"/>
    </xf>
    <xf numFmtId="165" fontId="16" fillId="20" borderId="5" xfId="1" applyNumberFormat="1" applyFont="1" applyFill="1" applyBorder="1" applyAlignment="1"/>
    <xf numFmtId="0" fontId="38" fillId="20" borderId="0" xfId="0" applyFont="1" applyFill="1" applyAlignment="1">
      <alignment horizontal="center"/>
    </xf>
    <xf numFmtId="165" fontId="16" fillId="20" borderId="20" xfId="1" applyNumberFormat="1" applyFont="1" applyFill="1" applyBorder="1"/>
    <xf numFmtId="165" fontId="0" fillId="20" borderId="0" xfId="0" applyNumberFormat="1" applyFill="1"/>
    <xf numFmtId="43" fontId="0" fillId="20" borderId="0" xfId="1" applyFont="1" applyFill="1"/>
    <xf numFmtId="165" fontId="0" fillId="20" borderId="5" xfId="1" applyNumberFormat="1" applyFont="1" applyFill="1" applyBorder="1"/>
    <xf numFmtId="165" fontId="0" fillId="20" borderId="6" xfId="1" applyNumberFormat="1" applyFont="1" applyFill="1" applyBorder="1"/>
    <xf numFmtId="165" fontId="0" fillId="20" borderId="3" xfId="1" applyNumberFormat="1" applyFont="1" applyFill="1" applyBorder="1"/>
    <xf numFmtId="165" fontId="16" fillId="20" borderId="3" xfId="1" applyNumberFormat="1" applyFont="1" applyFill="1" applyBorder="1"/>
    <xf numFmtId="43" fontId="0" fillId="20" borderId="3" xfId="1" applyFont="1" applyFill="1" applyBorder="1"/>
    <xf numFmtId="165" fontId="0" fillId="20" borderId="3" xfId="0" applyNumberFormat="1" applyFill="1" applyBorder="1"/>
    <xf numFmtId="0" fontId="0" fillId="0" borderId="1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4" xfId="0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3" fillId="0" borderId="0" xfId="0" applyFont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0" fillId="2" borderId="3" xfId="0" applyFill="1" applyBorder="1" applyAlignment="1">
      <alignment horizont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horizontal="left" vertical="center" wrapText="1"/>
    </xf>
    <xf numFmtId="165" fontId="0" fillId="0" borderId="4" xfId="1" applyNumberFormat="1" applyFont="1" applyFill="1" applyBorder="1" applyAlignment="1">
      <alignment horizontal="right" vertical="center"/>
    </xf>
    <xf numFmtId="165" fontId="0" fillId="0" borderId="6" xfId="1" applyNumberFormat="1" applyFont="1" applyFill="1" applyBorder="1" applyAlignment="1">
      <alignment horizontal="right" vertical="center"/>
    </xf>
    <xf numFmtId="0" fontId="19" fillId="0" borderId="3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2" fillId="7" borderId="0" xfId="0" applyFont="1" applyFill="1" applyAlignment="1">
      <alignment horizontal="center" vertical="center"/>
    </xf>
    <xf numFmtId="0" fontId="12" fillId="7" borderId="15" xfId="0" applyFont="1" applyFill="1" applyBorder="1" applyAlignment="1">
      <alignment horizontal="center" vertical="center"/>
    </xf>
  </cellXfs>
  <cellStyles count="6">
    <cellStyle name="Comma" xfId="1" builtinId="3"/>
    <cellStyle name="Currency" xfId="3" builtinId="4"/>
    <cellStyle name="Good" xfId="4" builtinId="26"/>
    <cellStyle name="Normal" xfId="0" builtinId="0"/>
    <cellStyle name="Normal 4" xfId="5"/>
    <cellStyle name="Percent" xfId="2" builtinId="5"/>
  </cellStyles>
  <dxfs count="0"/>
  <tableStyles count="0" defaultTableStyle="TableStyleMedium2" defaultPivotStyle="PivotStyleLight16"/>
  <colors>
    <mruColors>
      <color rgb="FF66FF99"/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Price%20Review\2021-25%20EDPR\13.0%202021%20EDPR%20-%20Revised%20Proposal%20Preparation\Supporting%20models\ASD%20-%20EDPR%202022-26%20Revised%20Proposal%20-%20Capex%20Model%20(2021-26)%20-%20031220%20-%20PUBLI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s to Connections Model"/>
      <sheetName val="Input from Connections Model"/>
      <sheetName val="Contents"/>
      <sheetName val="Assumptions"/>
      <sheetName val="Lookups -&gt;"/>
      <sheetName val="Lab_Mat"/>
      <sheetName val="Escalators"/>
      <sheetName val="Lookups"/>
      <sheetName val="START"/>
      <sheetName val="Inputs -&gt;"/>
      <sheetName val="Augmentation"/>
      <sheetName val="Connections"/>
      <sheetName val="Major_Rebuilds"/>
      <sheetName val="Stations"/>
      <sheetName val="Lines"/>
      <sheetName val="PC&amp;A"/>
      <sheetName val="SCADA&amp;Comms"/>
      <sheetName val="ESL_1"/>
      <sheetName val="ESL_2"/>
      <sheetName val="REFCL"/>
      <sheetName val="ICT"/>
      <sheetName val="Metering_SCS"/>
      <sheetName val="Other_NN"/>
      <sheetName val="Downer_Contract"/>
      <sheetName val="Aggregations &amp; Alloc -&gt;"/>
      <sheetName val="Base_Forecast"/>
      <sheetName val="Reg_Forecast"/>
      <sheetName val="Capex_by_Driver"/>
      <sheetName val="Safety"/>
      <sheetName val="AusNet_Overheads"/>
      <sheetName val="Outputs -&gt;"/>
      <sheetName val="RFM_PTRM"/>
      <sheetName val="Capex_2016-2026"/>
      <sheetName val="DER"/>
      <sheetName val="REFCL_view"/>
      <sheetName val="RIN Template -&gt;"/>
      <sheetName val="2.1 Exp Summary"/>
      <sheetName val="2.1.8 Cap Overheads"/>
      <sheetName val="2.6 Non-Network"/>
      <sheetName val="2.11 Labour"/>
      <sheetName val="2.17 Step Changes"/>
      <sheetName val="Other -&gt;"/>
      <sheetName val="Repex_Analysis"/>
      <sheetName val="ASD - EDPR 2022-26 Revised Prop"/>
    </sheetNames>
    <sheetDataSet>
      <sheetData sheetId="0"/>
      <sheetData sheetId="1"/>
      <sheetData sheetId="2"/>
      <sheetData sheetId="3"/>
      <sheetData sheetId="4"/>
      <sheetData sheetId="5"/>
      <sheetData sheetId="6">
        <row r="12">
          <cell r="O12">
            <v>1.5929203539823078E-2</v>
          </cell>
        </row>
        <row r="26">
          <cell r="N26">
            <v>1.4906833450926693E-2</v>
          </cell>
          <cell r="O26">
            <v>8.9480509403160879E-3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28"/>
  <sheetViews>
    <sheetView tabSelected="1" zoomScale="85" zoomScaleNormal="85" workbookViewId="0">
      <selection activeCell="B24" sqref="B24"/>
    </sheetView>
  </sheetViews>
  <sheetFormatPr defaultRowHeight="15" x14ac:dyDescent="0.25"/>
  <cols>
    <col min="1" max="1" width="2.5703125" customWidth="1"/>
    <col min="2" max="2" width="25.85546875" customWidth="1"/>
    <col min="3" max="5" width="9.42578125" bestFit="1" customWidth="1"/>
    <col min="6" max="13" width="9.85546875" customWidth="1"/>
    <col min="14" max="15" width="10.5703125" bestFit="1" customWidth="1"/>
  </cols>
  <sheetData>
    <row r="1" spans="2:25" x14ac:dyDescent="0.25">
      <c r="B1" s="3" t="s">
        <v>481</v>
      </c>
    </row>
    <row r="3" spans="2:25" x14ac:dyDescent="0.25">
      <c r="B3" s="11" t="s">
        <v>482</v>
      </c>
      <c r="P3" s="330"/>
      <c r="Q3" s="309"/>
      <c r="R3" s="309"/>
      <c r="S3" s="309"/>
      <c r="T3" s="309"/>
      <c r="U3" s="309"/>
      <c r="V3" s="309"/>
      <c r="W3" s="309"/>
      <c r="X3" s="309"/>
    </row>
    <row r="4" spans="2:25" ht="30" x14ac:dyDescent="0.25">
      <c r="B4" t="s">
        <v>5</v>
      </c>
      <c r="C4" s="9" t="s">
        <v>17</v>
      </c>
      <c r="D4" s="9" t="s">
        <v>18</v>
      </c>
      <c r="E4" s="9" t="s">
        <v>19</v>
      </c>
      <c r="F4" s="9" t="s">
        <v>9</v>
      </c>
      <c r="G4" s="9" t="s">
        <v>10</v>
      </c>
      <c r="H4" s="9" t="s">
        <v>11</v>
      </c>
      <c r="I4" s="9" t="s">
        <v>12</v>
      </c>
      <c r="J4" s="9" t="s">
        <v>13</v>
      </c>
      <c r="K4" s="9" t="s">
        <v>14</v>
      </c>
      <c r="L4" s="9" t="s">
        <v>15</v>
      </c>
      <c r="M4" s="9" t="s">
        <v>16</v>
      </c>
      <c r="N4" s="9" t="s">
        <v>0</v>
      </c>
      <c r="P4" s="280"/>
      <c r="Q4" s="280"/>
      <c r="R4" s="280"/>
      <c r="S4" s="280"/>
      <c r="T4" s="280"/>
      <c r="U4" s="280"/>
      <c r="V4" s="280"/>
      <c r="W4" s="280"/>
      <c r="X4" s="280"/>
    </row>
    <row r="5" spans="2:25" x14ac:dyDescent="0.25">
      <c r="B5" t="s">
        <v>3</v>
      </c>
      <c r="C5" s="232">
        <f>Summary!E14</f>
        <v>0</v>
      </c>
      <c r="D5" s="232">
        <f>Summary!F14</f>
        <v>7342.8796604152303</v>
      </c>
      <c r="E5" s="232">
        <f>Summary!G14</f>
        <v>10421.030183184695</v>
      </c>
      <c r="F5" s="232">
        <f>Summary!H14</f>
        <v>13443.997819400231</v>
      </c>
      <c r="G5" s="232">
        <f>Summary!I14</f>
        <v>8187.1196280884224</v>
      </c>
      <c r="H5" s="232">
        <f>Summary!J14</f>
        <v>2930.2414367766155</v>
      </c>
      <c r="I5" s="232">
        <f>Summary!K14</f>
        <v>1883.5747023926692</v>
      </c>
      <c r="J5" s="232">
        <f>Summary!L14</f>
        <v>836.90796800872295</v>
      </c>
      <c r="K5" s="232">
        <f>Summary!M14</f>
        <v>836.90796800872295</v>
      </c>
      <c r="L5" s="232">
        <f>Summary!N14</f>
        <v>836.90796800872295</v>
      </c>
      <c r="M5" s="232">
        <f>Summary!O14</f>
        <v>418.45398400436147</v>
      </c>
      <c r="N5" s="5">
        <f>SUM(C5:M5)</f>
        <v>47138.021318288396</v>
      </c>
      <c r="P5" s="309"/>
      <c r="Q5" s="309"/>
      <c r="R5" s="309"/>
      <c r="S5" s="309"/>
      <c r="T5" s="309"/>
      <c r="U5" s="309"/>
      <c r="V5" s="309"/>
      <c r="W5" s="309"/>
      <c r="X5" s="309"/>
      <c r="Y5" s="5"/>
    </row>
    <row r="6" spans="2:25" x14ac:dyDescent="0.25">
      <c r="B6" t="s">
        <v>92</v>
      </c>
      <c r="C6" s="232">
        <f>Summary!E26</f>
        <v>0</v>
      </c>
      <c r="D6" s="232">
        <f>Summary!F26</f>
        <v>483.76253670282767</v>
      </c>
      <c r="E6" s="232">
        <f>Summary!G26</f>
        <v>1206.7958457038587</v>
      </c>
      <c r="F6" s="232">
        <f>Summary!H26</f>
        <v>1913.2332232488161</v>
      </c>
      <c r="G6" s="232">
        <f>Summary!I26</f>
        <v>1017.0869287122616</v>
      </c>
      <c r="H6" s="232">
        <f>Summary!J26</f>
        <v>120.94063417570695</v>
      </c>
      <c r="I6" s="232">
        <f>Summary!K26</f>
        <v>60.470317087853473</v>
      </c>
      <c r="J6" s="232">
        <f>Summary!L26</f>
        <v>0</v>
      </c>
      <c r="K6" s="232">
        <f>Summary!M26</f>
        <v>0</v>
      </c>
      <c r="L6" s="232">
        <f>Summary!N26</f>
        <v>0</v>
      </c>
      <c r="M6" s="232">
        <f>Summary!O26</f>
        <v>0</v>
      </c>
      <c r="N6" s="5">
        <f>SUM(C6:M6)</f>
        <v>4802.2894856313242</v>
      </c>
      <c r="P6" s="309"/>
      <c r="Q6" s="309"/>
      <c r="R6" s="309"/>
      <c r="S6" s="309"/>
      <c r="T6" s="309"/>
      <c r="U6" s="309"/>
      <c r="V6" s="309"/>
      <c r="W6" s="309"/>
      <c r="X6" s="309"/>
      <c r="Y6" s="5"/>
    </row>
    <row r="7" spans="2:25" x14ac:dyDescent="0.25">
      <c r="B7" t="s">
        <v>2</v>
      </c>
      <c r="C7" s="232">
        <f>Summary!E38</f>
        <v>0</v>
      </c>
      <c r="D7" s="232">
        <f>Summary!F38</f>
        <v>2745.422919233823</v>
      </c>
      <c r="E7" s="232">
        <f>Summary!G38</f>
        <v>3354.6356229265839</v>
      </c>
      <c r="F7" s="232">
        <f>Summary!H38</f>
        <v>3963.2634190735121</v>
      </c>
      <c r="G7" s="232">
        <f>Summary!I38</f>
        <v>2372.0779178285634</v>
      </c>
      <c r="H7" s="232">
        <f>Summary!J38</f>
        <v>780.89241658361402</v>
      </c>
      <c r="I7" s="232">
        <f>Summary!K38</f>
        <v>662.25189808922994</v>
      </c>
      <c r="J7" s="232">
        <f>Summary!L38</f>
        <v>543.61137959484586</v>
      </c>
      <c r="K7" s="232">
        <f>Summary!M38</f>
        <v>543.61137959484586</v>
      </c>
      <c r="L7" s="232">
        <f>Summary!N38</f>
        <v>543.61137959484586</v>
      </c>
      <c r="M7" s="232">
        <f>Summary!O38</f>
        <v>271.80568979742293</v>
      </c>
      <c r="N7" s="5">
        <f t="shared" ref="N7:N8" si="0">SUM(C7:M7)</f>
        <v>15781.184022317284</v>
      </c>
      <c r="P7" s="309"/>
      <c r="Q7" s="309"/>
      <c r="R7" s="309"/>
      <c r="S7" s="309"/>
      <c r="T7" s="309"/>
      <c r="U7" s="309"/>
      <c r="V7" s="309"/>
      <c r="W7" s="309"/>
      <c r="X7" s="309"/>
      <c r="Y7" s="5"/>
    </row>
    <row r="8" spans="2:25" x14ac:dyDescent="0.25">
      <c r="B8" t="s">
        <v>4</v>
      </c>
      <c r="C8" s="4">
        <f>Summary!E50</f>
        <v>0</v>
      </c>
      <c r="D8" s="4">
        <f>Summary!F50</f>
        <v>480.89508006346955</v>
      </c>
      <c r="E8" s="4">
        <f>Summary!G50</f>
        <v>428.39992246361146</v>
      </c>
      <c r="F8" s="4">
        <f>Summary!H50</f>
        <v>0</v>
      </c>
      <c r="G8" s="4">
        <f>Summary!I50</f>
        <v>0</v>
      </c>
      <c r="H8" s="4">
        <f>Summary!J50</f>
        <v>0</v>
      </c>
      <c r="I8" s="4">
        <f>Summary!K50</f>
        <v>0</v>
      </c>
      <c r="J8" s="4">
        <f>Summary!L50</f>
        <v>0</v>
      </c>
      <c r="K8" s="4">
        <f>Summary!M50</f>
        <v>0</v>
      </c>
      <c r="L8" s="4">
        <f>Summary!N50</f>
        <v>0</v>
      </c>
      <c r="M8" s="4">
        <f>Summary!O50</f>
        <v>0</v>
      </c>
      <c r="N8" s="5">
        <f t="shared" si="0"/>
        <v>909.29500252708101</v>
      </c>
      <c r="P8" s="309"/>
      <c r="Q8" s="309"/>
      <c r="R8" s="309"/>
      <c r="S8" s="309"/>
      <c r="T8" s="309"/>
      <c r="U8" s="309"/>
      <c r="V8" s="309"/>
      <c r="W8" s="309"/>
      <c r="X8" s="309"/>
    </row>
    <row r="9" spans="2:25" x14ac:dyDescent="0.25">
      <c r="B9" s="3" t="s">
        <v>35</v>
      </c>
      <c r="C9" s="10">
        <f t="shared" ref="C9" si="1">SUM(C5:C8)</f>
        <v>0</v>
      </c>
      <c r="D9" s="10">
        <f t="shared" ref="D9" si="2">SUM(D5:D8)</f>
        <v>11052.960196415352</v>
      </c>
      <c r="E9" s="10">
        <f t="shared" ref="E9" si="3">SUM(E5:E8)</f>
        <v>15410.86157427875</v>
      </c>
      <c r="F9" s="10">
        <f t="shared" ref="F9" si="4">SUM(F5:F8)</f>
        <v>19320.494461722559</v>
      </c>
      <c r="G9" s="10">
        <f t="shared" ref="G9" si="5">SUM(G5:G8)</f>
        <v>11576.284474629247</v>
      </c>
      <c r="H9" s="10">
        <f t="shared" ref="H9" si="6">SUM(H5:H8)</f>
        <v>3832.0744875359369</v>
      </c>
      <c r="I9" s="10">
        <f t="shared" ref="I9" si="7">SUM(I5:I8)</f>
        <v>2606.2969175697526</v>
      </c>
      <c r="J9" s="10">
        <f t="shared" ref="J9" si="8">SUM(J5:J8)</f>
        <v>1380.5193476035688</v>
      </c>
      <c r="K9" s="10">
        <f t="shared" ref="K9" si="9">SUM(K5:K8)</f>
        <v>1380.5193476035688</v>
      </c>
      <c r="L9" s="10">
        <f t="shared" ref="L9" si="10">SUM(L5:L8)</f>
        <v>1380.5193476035688</v>
      </c>
      <c r="M9" s="10">
        <f t="shared" ref="M9" si="11">SUM(M5:M8)</f>
        <v>690.2596738017844</v>
      </c>
      <c r="N9" s="15">
        <f>SUM(N5:N8)</f>
        <v>68630.789828764086</v>
      </c>
      <c r="O9" s="5"/>
      <c r="P9" s="309"/>
      <c r="Q9" s="309"/>
      <c r="R9" s="309"/>
      <c r="S9" s="309"/>
      <c r="T9" s="309"/>
      <c r="U9" s="309"/>
      <c r="V9" s="309"/>
      <c r="W9" s="309"/>
      <c r="X9" s="309"/>
    </row>
    <row r="10" spans="2:25" x14ac:dyDescent="0.25">
      <c r="B10" s="435" t="s">
        <v>407</v>
      </c>
      <c r="C10" s="5">
        <f>C9-Summary!E62</f>
        <v>0</v>
      </c>
      <c r="D10" s="5">
        <f>D9-Summary!F62</f>
        <v>0</v>
      </c>
      <c r="E10" s="5">
        <f>E9-Summary!G62</f>
        <v>0</v>
      </c>
      <c r="F10" s="5">
        <f>F9-Summary!H62</f>
        <v>0</v>
      </c>
      <c r="G10" s="5">
        <f>G9-Summary!I62</f>
        <v>0</v>
      </c>
      <c r="H10" s="5">
        <f>H9-Summary!J62</f>
        <v>0</v>
      </c>
      <c r="I10" s="5">
        <f>I9-Summary!K62</f>
        <v>0</v>
      </c>
      <c r="J10" s="5">
        <f>J9-Summary!L62</f>
        <v>0</v>
      </c>
      <c r="K10" s="5">
        <f>K9-Summary!M62</f>
        <v>0</v>
      </c>
      <c r="L10" s="5">
        <f>L9-Summary!N62</f>
        <v>0</v>
      </c>
      <c r="M10" s="5">
        <f>M9-Summary!O62</f>
        <v>0</v>
      </c>
      <c r="N10" s="5">
        <f>N9-Summary!P62</f>
        <v>0</v>
      </c>
      <c r="P10" s="309"/>
      <c r="Q10" s="309"/>
      <c r="R10" s="309"/>
      <c r="S10" s="309"/>
      <c r="T10" s="309"/>
      <c r="U10" s="309"/>
      <c r="V10" s="309"/>
      <c r="W10" s="309"/>
      <c r="X10" s="309"/>
    </row>
    <row r="12" spans="2:25" x14ac:dyDescent="0.25">
      <c r="B12" t="s">
        <v>34</v>
      </c>
      <c r="C12" s="16">
        <f t="shared" ref="C12" si="12">C9/$C$23</f>
        <v>0</v>
      </c>
      <c r="D12" s="16">
        <f>D9/$C$23</f>
        <v>10827.988440205127</v>
      </c>
      <c r="E12" s="16">
        <f t="shared" ref="E12:N12" si="13">E9/$C$23</f>
        <v>15097.189170554491</v>
      </c>
      <c r="F12" s="16">
        <f t="shared" si="13"/>
        <v>18927.245459404312</v>
      </c>
      <c r="G12" s="16">
        <f t="shared" si="13"/>
        <v>11340.660985322633</v>
      </c>
      <c r="H12" s="16">
        <f t="shared" si="13"/>
        <v>3754.0765112409572</v>
      </c>
      <c r="I12" s="16">
        <f t="shared" si="13"/>
        <v>2553.2483962386868</v>
      </c>
      <c r="J12" s="16">
        <f t="shared" si="13"/>
        <v>1352.4202812364165</v>
      </c>
      <c r="K12" s="16">
        <f t="shared" si="13"/>
        <v>1352.4202812364165</v>
      </c>
      <c r="L12" s="16">
        <f t="shared" si="13"/>
        <v>1352.4202812364165</v>
      </c>
      <c r="M12" s="16">
        <f t="shared" si="13"/>
        <v>676.21014061820824</v>
      </c>
      <c r="N12" s="16">
        <f t="shared" si="13"/>
        <v>67233.879947293666</v>
      </c>
      <c r="O12" s="14" t="s">
        <v>36</v>
      </c>
    </row>
    <row r="14" spans="2:25" x14ac:dyDescent="0.25">
      <c r="B14" s="272" t="s">
        <v>40</v>
      </c>
      <c r="K14" s="328"/>
      <c r="L14" s="328"/>
      <c r="M14" s="328"/>
      <c r="N14" s="328"/>
      <c r="O14" s="328"/>
      <c r="P14" s="328"/>
      <c r="Q14" s="328"/>
      <c r="R14" s="328"/>
      <c r="S14" s="328"/>
      <c r="T14" s="328"/>
      <c r="U14" s="328"/>
    </row>
    <row r="15" spans="2:25" ht="30" x14ac:dyDescent="0.25">
      <c r="B15" t="s">
        <v>498</v>
      </c>
      <c r="C15" s="9" t="s">
        <v>37</v>
      </c>
      <c r="D15" s="17">
        <v>44713</v>
      </c>
      <c r="E15" s="17">
        <f>EDATE(D15,12)</f>
        <v>45078</v>
      </c>
      <c r="F15" s="17">
        <f>EDATE(E15,12)</f>
        <v>45444</v>
      </c>
      <c r="G15" s="17">
        <f>EDATE(F15,12)</f>
        <v>45809</v>
      </c>
      <c r="H15" s="17">
        <f t="shared" ref="H15" si="14">EDATE(G15,12)</f>
        <v>46174</v>
      </c>
      <c r="K15" s="365"/>
      <c r="L15" s="365"/>
      <c r="M15" s="365"/>
      <c r="N15" s="365"/>
      <c r="O15" s="328"/>
      <c r="P15" s="328"/>
      <c r="Q15" s="365"/>
      <c r="R15" s="365"/>
      <c r="S15" s="365"/>
      <c r="T15" s="365"/>
      <c r="U15" s="328"/>
    </row>
    <row r="16" spans="2:25" x14ac:dyDescent="0.25">
      <c r="B16" t="s">
        <v>3</v>
      </c>
      <c r="C16" s="19">
        <f>C5/$C$23</f>
        <v>0</v>
      </c>
      <c r="D16" s="19">
        <f>SUM(D5:E5)/$C$23</f>
        <v>17402.343537048775</v>
      </c>
      <c r="E16" s="19">
        <f>SUM(F5:G5)/$C$23</f>
        <v>21190.838065814103</v>
      </c>
      <c r="F16" s="19">
        <f>SUM(H5:I5)/$C$23</f>
        <v>4715.8358106729183</v>
      </c>
      <c r="G16" s="19">
        <f>SUM(J5:K5)/$C$23</f>
        <v>1639.7471160808075</v>
      </c>
      <c r="H16" s="19">
        <f>SUM(L5:M5)/$C$23</f>
        <v>1229.8103370606057</v>
      </c>
      <c r="I16" s="5">
        <f>SUM(C16:H16)</f>
        <v>46178.574866677212</v>
      </c>
      <c r="K16" s="366"/>
      <c r="L16" s="367"/>
      <c r="M16" s="367"/>
      <c r="N16" s="367"/>
      <c r="O16" s="367"/>
      <c r="P16" s="328"/>
      <c r="Q16" s="368"/>
      <c r="R16" s="368"/>
      <c r="S16" s="368"/>
      <c r="T16" s="368"/>
      <c r="U16" s="368"/>
    </row>
    <row r="17" spans="2:21" x14ac:dyDescent="0.25">
      <c r="B17" t="s">
        <v>92</v>
      </c>
      <c r="C17" s="19">
        <f t="shared" ref="C17:C19" si="15">C6/$C$23</f>
        <v>0</v>
      </c>
      <c r="D17" s="19">
        <f>SUM(D6:E6)/$C$23</f>
        <v>1656.1487870125679</v>
      </c>
      <c r="E17" s="19">
        <f>SUM(F6:G6)/$C$23</f>
        <v>2870.6764674521351</v>
      </c>
      <c r="F17" s="19">
        <f>SUM(H6:I6)/$C$23</f>
        <v>177.71851597235522</v>
      </c>
      <c r="G17" s="19">
        <f>SUM(J6:K6)/$C$23</f>
        <v>0</v>
      </c>
      <c r="H17" s="19">
        <f>SUM(L6:M6)/$C$23</f>
        <v>0</v>
      </c>
      <c r="I17" s="5">
        <f>SUM(C17:H17)</f>
        <v>4704.5437704370579</v>
      </c>
      <c r="K17" s="366"/>
      <c r="L17" s="366"/>
      <c r="M17" s="366"/>
      <c r="N17" s="366"/>
      <c r="O17" s="366"/>
      <c r="P17" s="328"/>
      <c r="Q17" s="368"/>
      <c r="R17" s="368"/>
      <c r="S17" s="368"/>
      <c r="T17" s="368"/>
      <c r="U17" s="368"/>
    </row>
    <row r="18" spans="2:21" x14ac:dyDescent="0.25">
      <c r="B18" t="s">
        <v>2</v>
      </c>
      <c r="C18" s="19">
        <f t="shared" si="15"/>
        <v>0</v>
      </c>
      <c r="D18" s="19">
        <f>SUM(D7:E7)/$C$23</f>
        <v>5975.8980585589106</v>
      </c>
      <c r="E18" s="19">
        <f>SUM(F7:G7)/$C$23</f>
        <v>6206.3919114607052</v>
      </c>
      <c r="F18" s="19">
        <f>SUM(H7:I7)/$C$23</f>
        <v>1413.7705808343699</v>
      </c>
      <c r="G18" s="19">
        <f>SUM(J7:K7)/$C$23</f>
        <v>1065.0934463920253</v>
      </c>
      <c r="H18" s="19">
        <f>SUM(L7:M7)/$C$23</f>
        <v>798.82008479401895</v>
      </c>
      <c r="I18" s="5">
        <f t="shared" ref="I18:I19" si="16">SUM(C18:H18)</f>
        <v>15459.974082040029</v>
      </c>
      <c r="K18" s="366"/>
      <c r="L18" s="367"/>
      <c r="M18" s="367"/>
      <c r="N18" s="367"/>
      <c r="O18" s="367"/>
      <c r="P18" s="328"/>
      <c r="Q18" s="368"/>
      <c r="R18" s="368"/>
      <c r="S18" s="368"/>
      <c r="T18" s="368"/>
      <c r="U18" s="368"/>
    </row>
    <row r="19" spans="2:21" x14ac:dyDescent="0.25">
      <c r="B19" t="s">
        <v>4</v>
      </c>
      <c r="C19" s="20">
        <f t="shared" si="15"/>
        <v>0</v>
      </c>
      <c r="D19" s="20">
        <f>SUM(D8:E8)/$C$23</f>
        <v>890.78722813936156</v>
      </c>
      <c r="E19" s="20">
        <f>SUM(F8:G8)/$C$23</f>
        <v>0</v>
      </c>
      <c r="F19" s="20">
        <f>SUM(H8:I8)/$C$23</f>
        <v>0</v>
      </c>
      <c r="G19" s="20">
        <f>SUM(J8:K8)/$C$23</f>
        <v>0</v>
      </c>
      <c r="H19" s="20">
        <f>SUM(L8:M8)/$C$23</f>
        <v>0</v>
      </c>
      <c r="I19" s="7">
        <f t="shared" si="16"/>
        <v>890.78722813936156</v>
      </c>
      <c r="K19" s="366"/>
      <c r="L19" s="367"/>
      <c r="M19" s="367"/>
      <c r="N19" s="367"/>
      <c r="O19" s="367"/>
      <c r="P19" s="328"/>
      <c r="Q19" s="368"/>
      <c r="R19" s="368"/>
      <c r="S19" s="368"/>
      <c r="T19" s="368"/>
      <c r="U19" s="368"/>
    </row>
    <row r="20" spans="2:21" x14ac:dyDescent="0.25">
      <c r="B20" s="3" t="s">
        <v>39</v>
      </c>
      <c r="C20" s="21">
        <f t="shared" ref="C20:G20" si="17">SUM(C16:C19)</f>
        <v>0</v>
      </c>
      <c r="D20" s="21">
        <f t="shared" si="17"/>
        <v>25925.177610759612</v>
      </c>
      <c r="E20" s="21">
        <f t="shared" si="17"/>
        <v>30267.906444726945</v>
      </c>
      <c r="F20" s="21">
        <f t="shared" si="17"/>
        <v>6307.3249074796431</v>
      </c>
      <c r="G20" s="21">
        <f t="shared" si="17"/>
        <v>2704.840562472833</v>
      </c>
      <c r="H20" s="21">
        <f>SUM(H16:H19)</f>
        <v>2028.6304218546247</v>
      </c>
      <c r="I20" s="21">
        <f>SUM(I16:I19)</f>
        <v>67233.879947293666</v>
      </c>
      <c r="K20" s="366"/>
      <c r="L20" s="366"/>
      <c r="M20" s="366"/>
      <c r="N20" s="366"/>
      <c r="O20" s="366"/>
      <c r="P20" s="328"/>
      <c r="Q20" s="369"/>
      <c r="R20" s="369"/>
      <c r="S20" s="369"/>
      <c r="T20" s="369"/>
      <c r="U20" s="369"/>
    </row>
    <row r="21" spans="2:21" x14ac:dyDescent="0.25">
      <c r="C21" s="400">
        <f t="shared" ref="C21:D21" si="18">C20/$I$20</f>
        <v>0</v>
      </c>
      <c r="D21" s="400">
        <f t="shared" si="18"/>
        <v>0.38559692867766987</v>
      </c>
      <c r="E21" s="400">
        <f>E20/$I$20</f>
        <v>0.45018830489114597</v>
      </c>
      <c r="F21" s="400">
        <f t="shared" ref="F21:H21" si="19">F20/$I$20</f>
        <v>9.381170493840478E-2</v>
      </c>
      <c r="G21" s="400">
        <f t="shared" si="19"/>
        <v>4.0230320853016747E-2</v>
      </c>
      <c r="H21" s="400">
        <f t="shared" si="19"/>
        <v>3.0172740639762562E-2</v>
      </c>
      <c r="K21" s="23"/>
      <c r="L21" s="292"/>
      <c r="M21" s="292"/>
      <c r="N21" s="292"/>
      <c r="O21" s="292"/>
    </row>
    <row r="22" spans="2:21" x14ac:dyDescent="0.25">
      <c r="K22" s="23"/>
      <c r="L22" s="292"/>
      <c r="M22" s="292"/>
      <c r="N22" s="292"/>
      <c r="O22" s="292"/>
    </row>
    <row r="23" spans="2:21" x14ac:dyDescent="0.25">
      <c r="B23" t="s">
        <v>38</v>
      </c>
      <c r="C23" s="28">
        <f>1+Escalators!G5</f>
        <v>1.0207768744354111</v>
      </c>
      <c r="K23" s="23"/>
      <c r="L23" s="292"/>
      <c r="M23" s="292"/>
      <c r="N23" s="292"/>
      <c r="O23" s="292"/>
    </row>
    <row r="25" spans="2:21" x14ac:dyDescent="0.25">
      <c r="C25" s="330"/>
      <c r="D25" s="436"/>
      <c r="E25" s="436"/>
      <c r="F25" s="436"/>
      <c r="G25" s="436"/>
      <c r="H25" s="436"/>
      <c r="I25" s="436"/>
    </row>
    <row r="26" spans="2:21" x14ac:dyDescent="0.25">
      <c r="C26" s="292"/>
      <c r="D26" s="292"/>
      <c r="E26" s="292"/>
      <c r="F26" s="292"/>
      <c r="G26" s="292"/>
      <c r="H26" s="292"/>
      <c r="I26" s="292"/>
    </row>
    <row r="27" spans="2:21" x14ac:dyDescent="0.25">
      <c r="D27" s="5"/>
      <c r="E27" s="5"/>
      <c r="F27" s="5"/>
      <c r="G27" s="5"/>
      <c r="H27" s="5"/>
    </row>
    <row r="28" spans="2:21" x14ac:dyDescent="0.25">
      <c r="E28" s="22"/>
      <c r="F28" s="22"/>
      <c r="G28" s="22"/>
      <c r="H28" s="22"/>
      <c r="I28" s="22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B1:AJ129"/>
  <sheetViews>
    <sheetView zoomScale="70" zoomScaleNormal="70" workbookViewId="0">
      <pane ySplit="4" topLeftCell="A38" activePane="bottomLeft" state="frozen"/>
      <selection activeCell="K4" sqref="K4:P4"/>
      <selection pane="bottomLeft" activeCell="N38" sqref="N38"/>
    </sheetView>
  </sheetViews>
  <sheetFormatPr defaultRowHeight="15" outlineLevelRow="1" outlineLevelCol="1" x14ac:dyDescent="0.25"/>
  <cols>
    <col min="1" max="1" width="2.28515625" customWidth="1"/>
    <col min="2" max="2" width="3" customWidth="1"/>
    <col min="3" max="3" width="48.7109375" customWidth="1"/>
    <col min="4" max="6" width="20.28515625" customWidth="1" outlineLevel="1"/>
    <col min="7" max="7" width="9.28515625" bestFit="1" customWidth="1"/>
    <col min="8" max="8" width="8.7109375" customWidth="1"/>
    <col min="9" max="9" width="10.85546875" customWidth="1"/>
    <col min="10" max="10" width="2.28515625" customWidth="1"/>
    <col min="11" max="11" width="9.5703125" bestFit="1" customWidth="1"/>
    <col min="12" max="12" width="9.42578125" bestFit="1" customWidth="1"/>
    <col min="13" max="13" width="9.42578125" customWidth="1"/>
    <col min="14" max="14" width="12.5703125" customWidth="1"/>
    <col min="15" max="15" width="9.140625" bestFit="1" customWidth="1"/>
    <col min="16" max="16" width="9.28515625" bestFit="1" customWidth="1"/>
    <col min="18" max="18" width="9.5703125" customWidth="1"/>
    <col min="19" max="19" width="10.7109375" customWidth="1"/>
    <col min="20" max="20" width="10.28515625" customWidth="1"/>
    <col min="21" max="25" width="8.7109375" customWidth="1"/>
    <col min="26" max="35" width="8.85546875" hidden="1" customWidth="1" outlineLevel="1"/>
    <col min="36" max="36" width="8.7109375" customWidth="1" collapsed="1"/>
  </cols>
  <sheetData>
    <row r="1" spans="2:33" x14ac:dyDescent="0.25">
      <c r="N1" s="452" t="s">
        <v>112</v>
      </c>
    </row>
    <row r="2" spans="2:33" x14ac:dyDescent="0.25">
      <c r="B2" s="11" t="str">
        <f>STN_7&amp;" Volumes &amp; Unit Rates"</f>
        <v>WGI Volumes &amp; Unit Rates</v>
      </c>
    </row>
    <row r="3" spans="2:33" ht="14.45" customHeight="1" x14ac:dyDescent="0.25">
      <c r="B3" t="str">
        <f>STN_7</f>
        <v>WGI</v>
      </c>
      <c r="G3" s="462" t="s">
        <v>21</v>
      </c>
      <c r="H3" s="463"/>
      <c r="I3" s="464"/>
      <c r="K3" s="462" t="s">
        <v>276</v>
      </c>
      <c r="L3" s="463"/>
      <c r="M3" s="463"/>
      <c r="N3" s="463"/>
      <c r="O3" s="463"/>
      <c r="P3" s="464"/>
      <c r="R3" s="462" t="s">
        <v>277</v>
      </c>
      <c r="S3" s="463"/>
      <c r="T3" s="463"/>
      <c r="U3" s="463"/>
      <c r="V3" s="463"/>
      <c r="W3" s="463"/>
      <c r="X3" s="464"/>
    </row>
    <row r="4" spans="2:33" ht="39" x14ac:dyDescent="0.25">
      <c r="D4" t="s">
        <v>5</v>
      </c>
      <c r="E4" t="s">
        <v>20</v>
      </c>
      <c r="G4" s="109" t="s">
        <v>278</v>
      </c>
      <c r="H4" s="110" t="s">
        <v>279</v>
      </c>
      <c r="I4" s="111" t="s">
        <v>280</v>
      </c>
      <c r="K4" s="111" t="s">
        <v>21</v>
      </c>
      <c r="L4" s="111" t="s">
        <v>22</v>
      </c>
      <c r="M4" s="118" t="s">
        <v>23</v>
      </c>
      <c r="N4" s="118" t="s">
        <v>24</v>
      </c>
      <c r="O4" s="111" t="s">
        <v>25</v>
      </c>
      <c r="P4" s="111" t="s">
        <v>26</v>
      </c>
      <c r="Q4" s="123" t="s">
        <v>281</v>
      </c>
      <c r="R4" s="115" t="s">
        <v>282</v>
      </c>
      <c r="S4" s="115" t="s">
        <v>82</v>
      </c>
      <c r="T4" s="115" t="s">
        <v>83</v>
      </c>
      <c r="U4" s="115" t="s">
        <v>84</v>
      </c>
      <c r="V4" s="115" t="s">
        <v>283</v>
      </c>
      <c r="W4" s="115" t="s">
        <v>85</v>
      </c>
      <c r="X4" s="115" t="s">
        <v>284</v>
      </c>
      <c r="Y4" s="115" t="s">
        <v>285</v>
      </c>
    </row>
    <row r="5" spans="2:33" x14ac:dyDescent="0.25">
      <c r="B5" s="116" t="s">
        <v>286</v>
      </c>
      <c r="C5" s="117"/>
      <c r="D5" s="117"/>
      <c r="E5" s="117"/>
      <c r="F5" s="117"/>
      <c r="G5" s="118"/>
      <c r="H5" s="110"/>
      <c r="I5" s="111"/>
      <c r="J5" s="117"/>
      <c r="K5" s="111"/>
      <c r="L5" s="111"/>
      <c r="M5" s="111"/>
      <c r="N5" s="118"/>
      <c r="O5" s="111"/>
      <c r="P5" s="111"/>
      <c r="Q5" s="2"/>
      <c r="R5" s="119">
        <f>Lab_Rates!$C$6*Escalators!C7*(1+Escalators!C17)*Escalators!$G$32</f>
        <v>162.48739067582716</v>
      </c>
      <c r="S5" s="119">
        <f>Lab_Rates!$C$7*Escalators!C7*(1+Escalators!C17)*Escalators!$G$32</f>
        <v>151.79743076294375</v>
      </c>
      <c r="T5" s="119">
        <f>Lab_Rates!$C$8*Escalators!C7*(1+Escalators!C17)*Escalators!$G$32</f>
        <v>176.38433856257552</v>
      </c>
      <c r="U5" s="119">
        <f>Lab_Rates!$C$9*Escalators!C7*(1+Escalators!C17)*Escalators!$G$32</f>
        <v>229.83413812699234</v>
      </c>
      <c r="V5" s="119">
        <f>Lab_Rates!$C$6*Escalators!C7*(1+Escalators!C17)*Escalators!$G$32</f>
        <v>162.48739067582716</v>
      </c>
      <c r="W5" s="119">
        <f>Lab_Rates!$C$10*Escalators!C7*(1+Escalators!C17)*Escalators!$G$32</f>
        <v>162.48739067582716</v>
      </c>
      <c r="X5" s="119">
        <f>Lab_Rates!$C$5*Escalators!C7*(1+Escalators!C17)*Escalators!$G$32</f>
        <v>133.62449891104205</v>
      </c>
    </row>
    <row r="6" spans="2:33" x14ac:dyDescent="0.25">
      <c r="B6" s="120"/>
      <c r="G6" s="121"/>
      <c r="H6" s="122"/>
      <c r="I6" s="123"/>
      <c r="K6" s="121"/>
      <c r="L6" s="121"/>
      <c r="M6" s="121"/>
      <c r="N6" s="236"/>
      <c r="O6" s="121"/>
      <c r="P6" s="237"/>
      <c r="R6" s="238"/>
      <c r="S6" s="238"/>
      <c r="T6" s="238"/>
      <c r="U6" s="238"/>
      <c r="V6" s="238"/>
      <c r="W6" s="238"/>
      <c r="X6" s="238"/>
    </row>
    <row r="7" spans="2:33" x14ac:dyDescent="0.25">
      <c r="B7" s="84" t="s">
        <v>343</v>
      </c>
      <c r="C7" s="23"/>
      <c r="D7" t="s">
        <v>1</v>
      </c>
      <c r="E7" t="s">
        <v>1</v>
      </c>
      <c r="G7" s="128"/>
      <c r="H7" s="129"/>
      <c r="I7" s="130"/>
      <c r="K7" s="131"/>
      <c r="L7" s="121">
        <f>SUMPRODUCT(R$5:X$5,R7:X7)/Thousands</f>
        <v>0</v>
      </c>
      <c r="M7" s="132">
        <v>1000</v>
      </c>
      <c r="N7" s="132"/>
      <c r="O7" s="128"/>
      <c r="P7" s="126">
        <f t="shared" ref="P7" si="0">SUM(K7:O7)</f>
        <v>1000</v>
      </c>
      <c r="Q7" s="133"/>
      <c r="R7" s="134"/>
      <c r="S7" s="135"/>
      <c r="T7" s="135"/>
      <c r="U7" s="135"/>
      <c r="V7" s="135"/>
      <c r="W7" s="135"/>
      <c r="X7" s="135"/>
    </row>
    <row r="8" spans="2:33" x14ac:dyDescent="0.25">
      <c r="B8" s="136"/>
      <c r="C8" s="325"/>
      <c r="D8" s="46"/>
      <c r="E8" s="46"/>
      <c r="F8" s="46"/>
      <c r="G8" s="137"/>
      <c r="H8" s="138"/>
      <c r="I8" s="139"/>
      <c r="K8" s="140"/>
      <c r="L8" s="140"/>
      <c r="M8" s="137"/>
      <c r="N8" s="141"/>
      <c r="O8" s="141"/>
      <c r="P8" s="142"/>
      <c r="Q8" s="133"/>
      <c r="R8" s="127"/>
      <c r="S8" s="127"/>
      <c r="T8" s="127"/>
      <c r="U8" s="127"/>
      <c r="V8" s="127"/>
      <c r="W8" s="127"/>
      <c r="X8" s="127"/>
    </row>
    <row r="9" spans="2:33" x14ac:dyDescent="0.25">
      <c r="B9" s="143" t="s">
        <v>288</v>
      </c>
      <c r="C9" s="324"/>
      <c r="D9" s="117"/>
      <c r="E9" s="117"/>
      <c r="F9" s="117"/>
      <c r="G9" s="144"/>
      <c r="H9" s="110"/>
      <c r="I9" s="111"/>
      <c r="K9" s="145"/>
      <c r="L9" s="145"/>
      <c r="M9" s="144"/>
      <c r="N9" s="146"/>
      <c r="O9" s="146"/>
      <c r="P9" s="147"/>
      <c r="Q9" s="108"/>
      <c r="R9" s="127"/>
      <c r="S9" s="127"/>
      <c r="T9" s="127"/>
      <c r="U9" s="127"/>
      <c r="V9" s="127"/>
      <c r="W9" s="127"/>
      <c r="X9" s="127"/>
    </row>
    <row r="10" spans="2:33" x14ac:dyDescent="0.25">
      <c r="B10" s="84"/>
      <c r="C10" s="23" t="s">
        <v>289</v>
      </c>
      <c r="D10" t="s">
        <v>1</v>
      </c>
      <c r="E10" t="s">
        <v>1</v>
      </c>
      <c r="G10" s="128"/>
      <c r="H10" s="129"/>
      <c r="I10" s="130"/>
      <c r="K10" s="148"/>
      <c r="L10" s="172">
        <f>SUMPRODUCT(R$5:X$5,R10:X10)/Thousands</f>
        <v>67.299711627548518</v>
      </c>
      <c r="M10" s="150"/>
      <c r="N10" s="150">
        <v>0</v>
      </c>
      <c r="O10" s="151"/>
      <c r="P10" s="126">
        <f>SUM(K10:O10)</f>
        <v>67.299711627548518</v>
      </c>
      <c r="Q10" s="152"/>
      <c r="R10" s="134">
        <v>228</v>
      </c>
      <c r="S10" s="134">
        <v>150</v>
      </c>
      <c r="T10" s="134">
        <v>32</v>
      </c>
      <c r="U10" s="134">
        <v>8</v>
      </c>
      <c r="V10" s="134"/>
      <c r="W10" s="134"/>
      <c r="X10" s="134"/>
      <c r="Y10" s="77">
        <f>SUM(R10:X10)</f>
        <v>418</v>
      </c>
      <c r="AA10" s="6"/>
      <c r="AB10" s="6"/>
      <c r="AC10" s="6"/>
      <c r="AD10" s="6"/>
      <c r="AE10" s="6"/>
      <c r="AF10" s="6"/>
      <c r="AG10" s="6"/>
    </row>
    <row r="11" spans="2:33" x14ac:dyDescent="0.25">
      <c r="B11" s="84"/>
      <c r="C11" s="23" t="s">
        <v>290</v>
      </c>
      <c r="D11" t="s">
        <v>1</v>
      </c>
      <c r="E11" t="s">
        <v>1</v>
      </c>
      <c r="G11" s="128"/>
      <c r="H11" s="129"/>
      <c r="I11" s="130"/>
      <c r="K11" s="148"/>
      <c r="L11" s="172">
        <f>SUMPRODUCT(R$5:X$5,R11:X11)/Thousands</f>
        <v>831.09520941108246</v>
      </c>
      <c r="M11" s="150"/>
      <c r="N11" s="132">
        <v>0</v>
      </c>
      <c r="O11" s="151"/>
      <c r="P11" s="126">
        <f>SUM(K11:O11)</f>
        <v>831.09520941108246</v>
      </c>
      <c r="Q11" s="133"/>
      <c r="R11" s="134">
        <v>108</v>
      </c>
      <c r="S11" s="134"/>
      <c r="T11" s="134">
        <v>2120</v>
      </c>
      <c r="U11" s="134"/>
      <c r="V11" s="134">
        <v>1254</v>
      </c>
      <c r="W11" s="134">
        <v>1440</v>
      </c>
      <c r="X11" s="134">
        <v>14</v>
      </c>
      <c r="Y11" s="77">
        <f t="shared" ref="Y11:Y13" si="1">SUM(R11:X11)</f>
        <v>4936</v>
      </c>
      <c r="AA11" s="6"/>
      <c r="AB11" s="6"/>
      <c r="AC11" s="6"/>
      <c r="AD11" s="6"/>
      <c r="AE11" s="6"/>
      <c r="AF11" s="6"/>
      <c r="AG11" s="6"/>
    </row>
    <row r="12" spans="2:33" x14ac:dyDescent="0.25">
      <c r="B12" s="84"/>
      <c r="C12" s="23" t="s">
        <v>291</v>
      </c>
      <c r="D12" t="s">
        <v>1</v>
      </c>
      <c r="E12" t="s">
        <v>1</v>
      </c>
      <c r="G12" s="128"/>
      <c r="H12" s="129"/>
      <c r="I12" s="130"/>
      <c r="K12" s="148"/>
      <c r="L12" s="172">
        <f>SUMPRODUCT(R$5:X$5,R12:X12)/Thousands</f>
        <v>27.776791837636132</v>
      </c>
      <c r="M12" s="150"/>
      <c r="N12" s="150">
        <v>0</v>
      </c>
      <c r="O12" s="151"/>
      <c r="P12" s="126">
        <f>SUM(K12:O12)</f>
        <v>27.776791837636132</v>
      </c>
      <c r="Q12" s="152"/>
      <c r="R12" s="134">
        <v>32</v>
      </c>
      <c r="S12" s="134"/>
      <c r="T12" s="134">
        <v>128</v>
      </c>
      <c r="U12" s="134"/>
      <c r="V12" s="134"/>
      <c r="W12" s="134"/>
      <c r="X12" s="134"/>
      <c r="Y12" s="77">
        <f t="shared" si="1"/>
        <v>160</v>
      </c>
      <c r="AA12" s="6"/>
      <c r="AB12" s="6"/>
      <c r="AC12" s="6"/>
      <c r="AD12" s="6"/>
      <c r="AE12" s="6"/>
      <c r="AF12" s="6"/>
      <c r="AG12" s="6"/>
    </row>
    <row r="13" spans="2:33" x14ac:dyDescent="0.25">
      <c r="B13" s="84"/>
      <c r="C13" s="23" t="s">
        <v>292</v>
      </c>
      <c r="D13" t="s">
        <v>1</v>
      </c>
      <c r="E13" t="s">
        <v>1</v>
      </c>
      <c r="G13" s="128"/>
      <c r="H13" s="129"/>
      <c r="I13" s="130"/>
      <c r="K13" s="148"/>
      <c r="L13" s="149"/>
      <c r="M13" s="150"/>
      <c r="N13" s="150">
        <v>0</v>
      </c>
      <c r="O13" s="151"/>
      <c r="P13" s="126">
        <f>SUM(K13:O13)</f>
        <v>0</v>
      </c>
      <c r="Q13" s="133"/>
      <c r="R13" s="134"/>
      <c r="S13" s="134"/>
      <c r="T13" s="134"/>
      <c r="U13" s="134"/>
      <c r="V13" s="134"/>
      <c r="W13" s="134"/>
      <c r="X13" s="134"/>
      <c r="Y13" s="77">
        <f t="shared" si="1"/>
        <v>0</v>
      </c>
      <c r="AA13" s="6"/>
      <c r="AB13" s="6"/>
      <c r="AC13" s="6"/>
      <c r="AD13" s="6"/>
      <c r="AE13" s="6"/>
      <c r="AF13" s="6"/>
      <c r="AG13" s="6"/>
    </row>
    <row r="14" spans="2:33" x14ac:dyDescent="0.25">
      <c r="B14" s="136"/>
      <c r="C14" s="325"/>
      <c r="D14" s="46"/>
      <c r="E14" s="46"/>
      <c r="F14" s="46"/>
      <c r="G14" s="140"/>
      <c r="H14" s="138"/>
      <c r="I14" s="139"/>
      <c r="K14" s="154"/>
      <c r="L14" s="155"/>
      <c r="M14" s="155"/>
      <c r="N14" s="239"/>
      <c r="O14" s="154"/>
      <c r="P14" s="240"/>
      <c r="R14" s="238"/>
      <c r="S14" s="238"/>
      <c r="T14" s="238"/>
      <c r="U14" s="238"/>
      <c r="V14" s="238"/>
      <c r="W14" s="238"/>
      <c r="X14" s="238"/>
    </row>
    <row r="15" spans="2:33" x14ac:dyDescent="0.25">
      <c r="B15" s="143" t="s">
        <v>293</v>
      </c>
      <c r="C15" s="324"/>
      <c r="D15" s="117"/>
      <c r="E15" s="117"/>
      <c r="F15" s="117"/>
      <c r="G15" s="158"/>
      <c r="H15" s="116"/>
      <c r="I15" s="159"/>
      <c r="K15" s="160"/>
      <c r="L15" s="160"/>
      <c r="M15" s="160"/>
      <c r="N15" s="160"/>
      <c r="O15" s="160"/>
      <c r="P15" s="241"/>
      <c r="Q15" s="22"/>
      <c r="R15" s="242"/>
      <c r="S15" s="238"/>
      <c r="T15" s="238"/>
      <c r="U15" s="238"/>
      <c r="V15" s="238"/>
      <c r="W15" s="238"/>
      <c r="X15" s="238"/>
      <c r="AA15" s="5"/>
      <c r="AB15" s="5"/>
      <c r="AC15" s="5"/>
      <c r="AD15" s="5"/>
      <c r="AE15" s="5"/>
      <c r="AF15" s="5"/>
      <c r="AG15" s="5"/>
    </row>
    <row r="16" spans="2:33" x14ac:dyDescent="0.25">
      <c r="B16" s="120" t="s">
        <v>114</v>
      </c>
      <c r="C16" s="23"/>
      <c r="G16" s="166"/>
      <c r="H16" s="84"/>
      <c r="I16" s="167"/>
      <c r="J16" s="165"/>
      <c r="K16" s="149"/>
      <c r="L16" s="149"/>
      <c r="M16" s="149"/>
      <c r="N16" s="149"/>
      <c r="O16" s="149"/>
      <c r="P16" s="167"/>
      <c r="R16" s="238"/>
      <c r="S16" s="238"/>
      <c r="T16" s="238"/>
      <c r="U16" s="238"/>
      <c r="V16" s="238"/>
      <c r="W16" s="238"/>
      <c r="X16" s="238"/>
      <c r="AA16" s="5"/>
      <c r="AB16" s="5"/>
      <c r="AC16" s="5"/>
      <c r="AD16" s="5"/>
      <c r="AE16" s="5"/>
      <c r="AF16" s="5"/>
      <c r="AG16" s="5"/>
    </row>
    <row r="17" spans="2:33" x14ac:dyDescent="0.25">
      <c r="B17" s="84"/>
      <c r="C17" s="23" t="s">
        <v>122</v>
      </c>
      <c r="D17" t="str">
        <f>INDEX(Unit_Rates!$C$7:$K$113,MATCH($C17,Unit_Rates!$C$7:$C$113,0),5)</f>
        <v>Subtransmission</v>
      </c>
      <c r="E17" t="str">
        <f>INDEX(Unit_Rates!$C$7:$K$113,MATCH($C17,Unit_Rates!$C$7:$C$113,0),6)</f>
        <v>Augmentation</v>
      </c>
      <c r="F17" t="str">
        <f>D17&amp;E17</f>
        <v>SubtransmissionAugmentation</v>
      </c>
      <c r="G17" s="170">
        <f>INDEX(Unit_Rates!$C$7:$K$113,MATCH($C17,Unit_Rates!$C$7:$C$113,0),7)</f>
        <v>72.618999999999986</v>
      </c>
      <c r="H17" s="171"/>
      <c r="I17" s="123" t="s">
        <v>294</v>
      </c>
      <c r="J17" s="165"/>
      <c r="K17" s="172">
        <f>G17*$H17</f>
        <v>0</v>
      </c>
      <c r="L17" s="173">
        <f t="shared" ref="L17:L47" si="2">SUMPRODUCT(R$5:X$5,R17:X17)/Thousands</f>
        <v>0</v>
      </c>
      <c r="M17" s="174"/>
      <c r="N17" s="448"/>
      <c r="O17" s="448"/>
      <c r="P17" s="449"/>
      <c r="Q17" s="152">
        <f>P17-H17*VLOOKUP(C17,Unit_Rates!$C$7:$E$51,3,FALSE)</f>
        <v>0</v>
      </c>
      <c r="R17" s="243">
        <v>0</v>
      </c>
      <c r="S17" s="243">
        <v>0</v>
      </c>
      <c r="T17" s="243">
        <v>0</v>
      </c>
      <c r="U17" s="243">
        <v>0</v>
      </c>
      <c r="V17" s="243">
        <v>0</v>
      </c>
      <c r="W17" s="243">
        <v>0</v>
      </c>
      <c r="X17" s="243">
        <v>0</v>
      </c>
      <c r="Y17" s="77">
        <f t="shared" ref="Y17:Y44" si="3">SUM(R17:X17)</f>
        <v>0</v>
      </c>
      <c r="AA17" s="5"/>
      <c r="AB17" s="5"/>
      <c r="AC17" s="5"/>
      <c r="AD17" s="5"/>
      <c r="AE17" s="5"/>
      <c r="AF17" s="5"/>
      <c r="AG17" s="5"/>
    </row>
    <row r="18" spans="2:33" x14ac:dyDescent="0.25">
      <c r="B18" s="84"/>
      <c r="C18" s="23" t="s">
        <v>124</v>
      </c>
      <c r="D18" t="str">
        <f>INDEX(Unit_Rates!$C$7:$K$113,MATCH($C18,Unit_Rates!$C$7:$C$113,0),5)</f>
        <v>Subtransmission</v>
      </c>
      <c r="E18" t="str">
        <f>INDEX(Unit_Rates!$C$7:$K$113,MATCH($C18,Unit_Rates!$C$7:$C$113,0),6)</f>
        <v>Augmentation</v>
      </c>
      <c r="F18" t="str">
        <f t="shared" ref="F18:F47" si="4">D18&amp;E18</f>
        <v>SubtransmissionAugmentation</v>
      </c>
      <c r="G18" s="170">
        <f>INDEX(Unit_Rates!$C$7:$K$113,MATCH($C18,Unit_Rates!$C$7:$C$113,0),7)</f>
        <v>112.82799999999997</v>
      </c>
      <c r="H18" s="171">
        <v>2</v>
      </c>
      <c r="I18" s="123" t="s">
        <v>294</v>
      </c>
      <c r="J18" s="165"/>
      <c r="K18" s="172">
        <f>G18*$H18</f>
        <v>225.65599999999995</v>
      </c>
      <c r="L18" s="173">
        <f t="shared" si="2"/>
        <v>0</v>
      </c>
      <c r="M18" s="174"/>
      <c r="N18" s="448"/>
      <c r="O18" s="448"/>
      <c r="P18" s="449"/>
      <c r="Q18" s="152">
        <f>P18-H18*VLOOKUP(C18,Unit_Rates!$C$7:$E$51,3,FALSE)</f>
        <v>0</v>
      </c>
      <c r="R18" s="243">
        <v>0</v>
      </c>
      <c r="S18" s="243">
        <v>0</v>
      </c>
      <c r="T18" s="243">
        <v>0</v>
      </c>
      <c r="U18" s="243">
        <v>0</v>
      </c>
      <c r="V18" s="243">
        <v>0</v>
      </c>
      <c r="W18" s="243">
        <v>0</v>
      </c>
      <c r="X18" s="243">
        <v>0</v>
      </c>
      <c r="Y18" s="77">
        <f t="shared" si="3"/>
        <v>0</v>
      </c>
      <c r="AA18" s="5"/>
      <c r="AB18" s="5"/>
      <c r="AC18" s="5"/>
      <c r="AD18" s="5"/>
      <c r="AE18" s="5"/>
      <c r="AF18" s="5"/>
      <c r="AG18" s="5"/>
    </row>
    <row r="19" spans="2:33" x14ac:dyDescent="0.25">
      <c r="B19" s="84"/>
      <c r="C19" s="23" t="s">
        <v>126</v>
      </c>
      <c r="D19" t="str">
        <f>INDEX(Unit_Rates!$C$7:$K$113,MATCH($C19,Unit_Rates!$C$7:$C$113,0),5)</f>
        <v>Subtransmission</v>
      </c>
      <c r="E19" t="str">
        <f>INDEX(Unit_Rates!$C$7:$K$113,MATCH($C19,Unit_Rates!$C$7:$C$113,0),6)</f>
        <v>Augmentation</v>
      </c>
      <c r="F19" t="str">
        <f t="shared" si="4"/>
        <v>SubtransmissionAugmentation</v>
      </c>
      <c r="G19" s="170">
        <f>INDEX(Unit_Rates!$C$7:$K$113,MATCH($C19,Unit_Rates!$C$7:$C$113,0),7)</f>
        <v>465.00233333333324</v>
      </c>
      <c r="H19" s="171"/>
      <c r="I19" s="123" t="s">
        <v>294</v>
      </c>
      <c r="J19" s="165"/>
      <c r="K19" s="172">
        <f>G19*$H19</f>
        <v>0</v>
      </c>
      <c r="L19" s="173">
        <f t="shared" si="2"/>
        <v>0</v>
      </c>
      <c r="M19" s="174"/>
      <c r="N19" s="448"/>
      <c r="O19" s="448"/>
      <c r="P19" s="449"/>
      <c r="Q19" s="152">
        <f>P19-H19*VLOOKUP(C19,Unit_Rates!$C$7:$E$51,3,FALSE)</f>
        <v>0</v>
      </c>
      <c r="R19" s="243">
        <v>0</v>
      </c>
      <c r="S19" s="243">
        <v>0</v>
      </c>
      <c r="T19" s="243">
        <v>0</v>
      </c>
      <c r="U19" s="243">
        <v>0</v>
      </c>
      <c r="V19" s="243">
        <v>0</v>
      </c>
      <c r="W19" s="243">
        <v>0</v>
      </c>
      <c r="X19" s="243">
        <v>0</v>
      </c>
      <c r="Y19" s="77">
        <f t="shared" si="3"/>
        <v>0</v>
      </c>
    </row>
    <row r="20" spans="2:33" x14ac:dyDescent="0.25">
      <c r="B20" s="84"/>
      <c r="C20" s="23" t="s">
        <v>419</v>
      </c>
      <c r="D20" t="str">
        <f>INDEX(Unit_Rates!$C$7:$K$113,MATCH($C20,Unit_Rates!$C$7:$C$113,0),5)</f>
        <v>Subtransmission</v>
      </c>
      <c r="E20" t="str">
        <f>INDEX(Unit_Rates!$C$7:$K$113,MATCH($C20,Unit_Rates!$C$7:$C$113,0),6)</f>
        <v>Augmentation</v>
      </c>
      <c r="F20" t="str">
        <f t="shared" ref="F20" si="5">D20&amp;E20</f>
        <v>SubtransmissionAugmentation</v>
      </c>
      <c r="G20" s="170">
        <f>INDEX(Unit_Rates!$C$7:$K$113,MATCH($C20,Unit_Rates!$C$7:$C$113,0),7)</f>
        <v>1126.5675100000001</v>
      </c>
      <c r="H20" s="171">
        <v>1</v>
      </c>
      <c r="I20" s="123" t="s">
        <v>294</v>
      </c>
      <c r="J20" s="165"/>
      <c r="K20" s="172">
        <f>G20*$H20</f>
        <v>1126.5675100000001</v>
      </c>
      <c r="L20" s="173">
        <f t="shared" ref="L20" si="6">SUMPRODUCT(R$5:X$5,R20:X20)/Thousands</f>
        <v>0</v>
      </c>
      <c r="M20" s="174"/>
      <c r="N20" s="448"/>
      <c r="O20" s="448"/>
      <c r="P20" s="449"/>
      <c r="Q20" s="152">
        <f>P20-H20*VLOOKUP(C20,Unit_Rates!$C$7:$E$99,3,FALSE)</f>
        <v>0</v>
      </c>
      <c r="R20" s="243">
        <v>0</v>
      </c>
      <c r="S20" s="243">
        <v>0</v>
      </c>
      <c r="T20" s="243">
        <v>0</v>
      </c>
      <c r="U20" s="243">
        <v>0</v>
      </c>
      <c r="V20" s="243">
        <v>0</v>
      </c>
      <c r="W20" s="243">
        <v>0</v>
      </c>
      <c r="X20" s="243">
        <v>0</v>
      </c>
      <c r="Y20" s="77">
        <f t="shared" ref="Y20" si="7">SUM(R20:X20)</f>
        <v>0</v>
      </c>
    </row>
    <row r="21" spans="2:33" x14ac:dyDescent="0.25">
      <c r="B21" s="84"/>
      <c r="C21" s="23" t="s">
        <v>128</v>
      </c>
      <c r="D21" t="str">
        <f>D18</f>
        <v>Subtransmission</v>
      </c>
      <c r="E21" t="str">
        <f>E18</f>
        <v>Augmentation</v>
      </c>
      <c r="F21" t="str">
        <f t="shared" si="4"/>
        <v>SubtransmissionAugmentation</v>
      </c>
      <c r="G21" s="170">
        <f>INDEX(Unit_Rates!$C$7:$K$113,MATCH($C21,Unit_Rates!$C$7:$C$113,0),7)</f>
        <v>39.294999999999995</v>
      </c>
      <c r="H21" s="171"/>
      <c r="I21" s="175" t="s">
        <v>294</v>
      </c>
      <c r="J21" s="176"/>
      <c r="K21" s="177">
        <f>G21*$H21</f>
        <v>0</v>
      </c>
      <c r="L21" s="177">
        <f t="shared" si="2"/>
        <v>0</v>
      </c>
      <c r="M21" s="178"/>
      <c r="N21" s="448"/>
      <c r="O21" s="448"/>
      <c r="P21" s="450"/>
      <c r="Q21" s="152">
        <f>P21-H21*VLOOKUP(C21,Unit_Rates!$C$7:$E$51,3,FALSE)</f>
        <v>0</v>
      </c>
      <c r="R21" s="243">
        <v>0</v>
      </c>
      <c r="S21" s="243">
        <v>0</v>
      </c>
      <c r="T21" s="243">
        <v>0</v>
      </c>
      <c r="U21" s="243">
        <v>0</v>
      </c>
      <c r="V21" s="243">
        <v>0</v>
      </c>
      <c r="W21" s="243">
        <v>0</v>
      </c>
      <c r="X21" s="243">
        <v>0</v>
      </c>
      <c r="Y21" s="77">
        <f t="shared" si="3"/>
        <v>0</v>
      </c>
      <c r="AA21" s="5"/>
      <c r="AB21" s="5"/>
      <c r="AC21" s="5"/>
      <c r="AD21" s="5"/>
      <c r="AE21" s="5"/>
      <c r="AF21" s="5"/>
      <c r="AG21" s="5"/>
    </row>
    <row r="22" spans="2:33" x14ac:dyDescent="0.25">
      <c r="B22" s="84"/>
      <c r="C22" s="23" t="s">
        <v>130</v>
      </c>
      <c r="D22" t="str">
        <f>INDEX(Unit_Rates!$C$7:$K$113,MATCH($C22,Unit_Rates!$C$7:$C$113,0),5)</f>
        <v>Subtransmission</v>
      </c>
      <c r="E22" t="str">
        <f>INDEX(Unit_Rates!$C$7:$K$113,MATCH($C22,Unit_Rates!$C$7:$C$113,0),6)</f>
        <v>Augmentation</v>
      </c>
      <c r="F22" t="str">
        <f t="shared" si="4"/>
        <v>SubtransmissionAugmentation</v>
      </c>
      <c r="G22" s="170">
        <f>INDEX(Unit_Rates!$C$7:$K$113,MATCH($C22,Unit_Rates!$C$7:$C$113,0),7)</f>
        <v>42.974999999999994</v>
      </c>
      <c r="H22" s="171"/>
      <c r="I22" s="123" t="s">
        <v>294</v>
      </c>
      <c r="J22" s="165"/>
      <c r="K22" s="172">
        <f>G22*H22</f>
        <v>0</v>
      </c>
      <c r="L22" s="173">
        <f t="shared" si="2"/>
        <v>0</v>
      </c>
      <c r="M22" s="174"/>
      <c r="N22" s="448"/>
      <c r="O22" s="448"/>
      <c r="P22" s="449"/>
      <c r="Q22" s="152">
        <f>P22-H22*VLOOKUP(C22,Unit_Rates!$C$7:$E$51,3,FALSE)</f>
        <v>0</v>
      </c>
      <c r="R22" s="243">
        <v>0</v>
      </c>
      <c r="S22" s="243">
        <v>0</v>
      </c>
      <c r="T22" s="243">
        <v>0</v>
      </c>
      <c r="U22" s="243">
        <v>0</v>
      </c>
      <c r="V22" s="243">
        <v>0</v>
      </c>
      <c r="W22" s="243">
        <v>0</v>
      </c>
      <c r="X22" s="243">
        <v>0</v>
      </c>
      <c r="Y22" s="77">
        <f t="shared" si="3"/>
        <v>0</v>
      </c>
      <c r="AA22" s="5"/>
      <c r="AB22" s="5"/>
      <c r="AC22" s="5"/>
      <c r="AD22" s="5"/>
      <c r="AE22" s="5"/>
      <c r="AF22" s="5"/>
      <c r="AG22" s="5"/>
    </row>
    <row r="23" spans="2:33" x14ac:dyDescent="0.25">
      <c r="B23" s="84"/>
      <c r="C23" s="23" t="s">
        <v>132</v>
      </c>
      <c r="D23" t="str">
        <f>INDEX(Unit_Rates!$C$7:$K$113,MATCH($C23,Unit_Rates!$C$7:$C$113,0),5)</f>
        <v>Subtransmission</v>
      </c>
      <c r="E23" t="str">
        <f>INDEX(Unit_Rates!$C$7:$K$113,MATCH($C23,Unit_Rates!$C$7:$C$113,0),6)</f>
        <v>Augmentation</v>
      </c>
      <c r="F23" t="str">
        <f t="shared" si="4"/>
        <v>SubtransmissionAugmentation</v>
      </c>
      <c r="G23" s="170">
        <f>INDEX(Unit_Rates!$C$7:$K$113,MATCH($C23,Unit_Rates!$C$7:$C$113,0),7)</f>
        <v>0</v>
      </c>
      <c r="H23" s="171"/>
      <c r="I23" s="123" t="s">
        <v>294</v>
      </c>
      <c r="J23" s="165"/>
      <c r="K23" s="172">
        <f>G23*H23</f>
        <v>0</v>
      </c>
      <c r="L23" s="173">
        <f t="shared" si="2"/>
        <v>0</v>
      </c>
      <c r="M23" s="174"/>
      <c r="N23" s="448"/>
      <c r="O23" s="448"/>
      <c r="P23" s="449"/>
      <c r="Q23" s="152">
        <f>P23-H23*VLOOKUP(C23,Unit_Rates!$C$7:$E$51,3,FALSE)</f>
        <v>0</v>
      </c>
      <c r="R23" s="243">
        <v>0</v>
      </c>
      <c r="S23" s="243">
        <v>0</v>
      </c>
      <c r="T23" s="243">
        <v>0</v>
      </c>
      <c r="U23" s="243">
        <v>0</v>
      </c>
      <c r="V23" s="243">
        <v>0</v>
      </c>
      <c r="W23" s="243">
        <v>0</v>
      </c>
      <c r="X23" s="243">
        <v>0</v>
      </c>
      <c r="Y23" s="77">
        <f t="shared" si="3"/>
        <v>0</v>
      </c>
      <c r="AA23" s="5"/>
      <c r="AB23" s="5"/>
      <c r="AC23" s="5"/>
      <c r="AD23" s="5"/>
      <c r="AE23" s="5"/>
      <c r="AF23" s="5"/>
      <c r="AG23" s="5"/>
    </row>
    <row r="24" spans="2:33" x14ac:dyDescent="0.25">
      <c r="B24" s="84"/>
      <c r="C24" s="23" t="s">
        <v>133</v>
      </c>
      <c r="D24" t="str">
        <f>INDEX(Unit_Rates!$C$7:$K$113,MATCH($C24,Unit_Rates!$C$7:$C$113,0),5)</f>
        <v>SCADA/Network control</v>
      </c>
      <c r="E24" t="str">
        <f>INDEX(Unit_Rates!$C$7:$K$113,MATCH($C24,Unit_Rates!$C$7:$C$113,0),6)</f>
        <v>Augmentation</v>
      </c>
      <c r="F24" t="str">
        <f t="shared" si="4"/>
        <v>SCADA/Network controlAugmentation</v>
      </c>
      <c r="G24" s="170">
        <f>INDEX(Unit_Rates!$C$7:$K$113,MATCH($C24,Unit_Rates!$C$7:$C$113,0),7)</f>
        <v>1158.2999999999995</v>
      </c>
      <c r="H24" s="171">
        <v>1</v>
      </c>
      <c r="I24" s="123" t="s">
        <v>294</v>
      </c>
      <c r="J24" s="165"/>
      <c r="K24" s="172">
        <f>G24*H24</f>
        <v>1158.2999999999995</v>
      </c>
      <c r="L24" s="173">
        <f t="shared" si="2"/>
        <v>0</v>
      </c>
      <c r="M24" s="174"/>
      <c r="N24" s="448"/>
      <c r="O24" s="448"/>
      <c r="P24" s="449"/>
      <c r="Q24" s="152">
        <f>P24-H24*VLOOKUP(C24,Unit_Rates!$C$7:$E$51,3,FALSE)</f>
        <v>0</v>
      </c>
      <c r="R24" s="243">
        <v>0</v>
      </c>
      <c r="S24" s="243">
        <v>0</v>
      </c>
      <c r="T24" s="243">
        <v>0</v>
      </c>
      <c r="U24" s="243">
        <v>0</v>
      </c>
      <c r="V24" s="243">
        <v>0</v>
      </c>
      <c r="W24" s="243">
        <v>0</v>
      </c>
      <c r="X24" s="243">
        <v>0</v>
      </c>
      <c r="Y24" s="77">
        <f t="shared" si="3"/>
        <v>0</v>
      </c>
      <c r="AA24" s="5"/>
      <c r="AB24" s="5"/>
      <c r="AC24" s="5"/>
      <c r="AD24" s="5"/>
      <c r="AE24" s="5"/>
      <c r="AF24" s="5"/>
      <c r="AG24" s="5"/>
    </row>
    <row r="25" spans="2:33" x14ac:dyDescent="0.25">
      <c r="B25" s="84"/>
      <c r="C25" s="23" t="s">
        <v>135</v>
      </c>
      <c r="D25" t="str">
        <f>INDEX(Unit_Rates!$C$7:$K$113,MATCH($C25,Unit_Rates!$C$7:$C$113,0),5)</f>
        <v>Subtransmission</v>
      </c>
      <c r="E25" t="str">
        <f>INDEX(Unit_Rates!$C$7:$K$113,MATCH($C25,Unit_Rates!$C$7:$C$113,0),6)</f>
        <v>Augmentation</v>
      </c>
      <c r="F25" t="str">
        <f t="shared" si="4"/>
        <v>SubtransmissionAugmentation</v>
      </c>
      <c r="G25" s="170">
        <f>INDEX(Unit_Rates!$C$7:$K$113,MATCH($C25,Unit_Rates!$C$7:$C$113,0),7)</f>
        <v>0</v>
      </c>
      <c r="H25" s="171">
        <v>1</v>
      </c>
      <c r="I25" s="123" t="s">
        <v>294</v>
      </c>
      <c r="J25" s="165"/>
      <c r="K25" s="172">
        <f>G25*H25</f>
        <v>0</v>
      </c>
      <c r="L25" s="173">
        <f t="shared" si="2"/>
        <v>0</v>
      </c>
      <c r="M25" s="174"/>
      <c r="N25" s="448"/>
      <c r="O25" s="448"/>
      <c r="P25" s="449"/>
      <c r="Q25" s="152">
        <f>P25-H25*VLOOKUP(C25,Unit_Rates!$C$7:$E$51,3,FALSE)</f>
        <v>0</v>
      </c>
      <c r="R25" s="243">
        <v>0</v>
      </c>
      <c r="S25" s="243">
        <v>0</v>
      </c>
      <c r="T25" s="243">
        <v>0</v>
      </c>
      <c r="U25" s="243">
        <v>0</v>
      </c>
      <c r="V25" s="243">
        <v>0</v>
      </c>
      <c r="W25" s="243">
        <v>0</v>
      </c>
      <c r="X25" s="243">
        <v>0</v>
      </c>
      <c r="Y25" s="77">
        <f t="shared" si="3"/>
        <v>0</v>
      </c>
    </row>
    <row r="26" spans="2:33" x14ac:dyDescent="0.25">
      <c r="B26" s="84"/>
      <c r="C26" s="23" t="s">
        <v>137</v>
      </c>
      <c r="D26" t="str">
        <f>INDEX(Unit_Rates!$C$7:$K$113,MATCH($C26,Unit_Rates!$C$7:$C$113,0),5)</f>
        <v>Subtransmission</v>
      </c>
      <c r="E26" t="str">
        <f>INDEX(Unit_Rates!$C$7:$K$113,MATCH($C26,Unit_Rates!$C$7:$C$113,0),6)</f>
        <v>Augmentation</v>
      </c>
      <c r="F26" t="str">
        <f t="shared" si="4"/>
        <v>SubtransmissionAugmentation</v>
      </c>
      <c r="G26" s="170">
        <f>INDEX(Unit_Rates!$C$7:$K$113,MATCH($C26,Unit_Rates!$C$7:$C$113,0),7)</f>
        <v>1353.9999999999995</v>
      </c>
      <c r="H26" s="171"/>
      <c r="I26" s="123" t="s">
        <v>294</v>
      </c>
      <c r="J26" s="165"/>
      <c r="K26" s="172">
        <f t="shared" ref="K26:K47" si="8">G26*H26</f>
        <v>0</v>
      </c>
      <c r="L26" s="173">
        <f t="shared" si="2"/>
        <v>0</v>
      </c>
      <c r="M26" s="174"/>
      <c r="N26" s="448"/>
      <c r="O26" s="448"/>
      <c r="P26" s="449"/>
      <c r="Q26" s="152">
        <f>P26-H26*VLOOKUP(C26,Unit_Rates!$C$7:$E$51,3,FALSE)</f>
        <v>0</v>
      </c>
      <c r="R26" s="243">
        <v>0</v>
      </c>
      <c r="S26" s="243">
        <v>0</v>
      </c>
      <c r="T26" s="243">
        <v>0</v>
      </c>
      <c r="U26" s="243">
        <v>0</v>
      </c>
      <c r="V26" s="243">
        <v>0</v>
      </c>
      <c r="W26" s="243">
        <v>0</v>
      </c>
      <c r="X26" s="243">
        <v>0</v>
      </c>
      <c r="Y26" s="77">
        <f t="shared" si="3"/>
        <v>0</v>
      </c>
    </row>
    <row r="27" spans="2:33" x14ac:dyDescent="0.25">
      <c r="B27" s="84"/>
      <c r="C27" s="23" t="s">
        <v>139</v>
      </c>
      <c r="D27" t="str">
        <f>INDEX(Unit_Rates!$C$7:$K$113,MATCH($C27,Unit_Rates!$C$7:$C$113,0),5)</f>
        <v>Subtransmission</v>
      </c>
      <c r="E27" t="str">
        <f>INDEX(Unit_Rates!$C$7:$K$113,MATCH($C27,Unit_Rates!$C$7:$C$113,0),6)</f>
        <v>Augmentation</v>
      </c>
      <c r="F27" t="str">
        <f t="shared" si="4"/>
        <v>SubtransmissionAugmentation</v>
      </c>
      <c r="G27" s="170">
        <f>INDEX(Unit_Rates!$C$7:$K$113,MATCH($C27,Unit_Rates!$C$7:$C$113,0),7)</f>
        <v>1461.1162790697672</v>
      </c>
      <c r="H27" s="171"/>
      <c r="I27" s="123" t="s">
        <v>294</v>
      </c>
      <c r="J27" s="165"/>
      <c r="K27" s="172">
        <f t="shared" si="8"/>
        <v>0</v>
      </c>
      <c r="L27" s="173">
        <f t="shared" si="2"/>
        <v>0</v>
      </c>
      <c r="M27" s="174"/>
      <c r="N27" s="448"/>
      <c r="O27" s="448"/>
      <c r="P27" s="449"/>
      <c r="Q27" s="152">
        <f>P27-H27*VLOOKUP(C27,Unit_Rates!$C$7:$E$51,3,FALSE)</f>
        <v>0</v>
      </c>
      <c r="R27" s="243">
        <v>0</v>
      </c>
      <c r="S27" s="243">
        <v>0</v>
      </c>
      <c r="T27" s="243">
        <v>0</v>
      </c>
      <c r="U27" s="243">
        <v>0</v>
      </c>
      <c r="V27" s="243">
        <v>0</v>
      </c>
      <c r="W27" s="243">
        <v>0</v>
      </c>
      <c r="X27" s="243">
        <v>0</v>
      </c>
      <c r="Y27" s="77">
        <f t="shared" si="3"/>
        <v>0</v>
      </c>
    </row>
    <row r="28" spans="2:33" x14ac:dyDescent="0.25">
      <c r="B28" s="84"/>
      <c r="C28" s="23" t="s">
        <v>141</v>
      </c>
      <c r="D28" t="str">
        <f>INDEX(Unit_Rates!$C$7:$K$113,MATCH($C28,Unit_Rates!$C$7:$C$113,0),5)</f>
        <v>Subtransmission</v>
      </c>
      <c r="E28" t="str">
        <f>INDEX(Unit_Rates!$C$7:$K$113,MATCH($C28,Unit_Rates!$C$7:$C$113,0),6)</f>
        <v>Augmentation</v>
      </c>
      <c r="F28" t="str">
        <f t="shared" si="4"/>
        <v>SubtransmissionAugmentation</v>
      </c>
      <c r="G28" s="170">
        <f>INDEX(Unit_Rates!$C$7:$K$113,MATCH($C28,Unit_Rates!$C$7:$C$113,0),7)</f>
        <v>699.99999999999989</v>
      </c>
      <c r="H28" s="171"/>
      <c r="I28" s="123" t="s">
        <v>294</v>
      </c>
      <c r="J28" s="165"/>
      <c r="K28" s="172">
        <f t="shared" si="8"/>
        <v>0</v>
      </c>
      <c r="L28" s="173">
        <f t="shared" si="2"/>
        <v>0</v>
      </c>
      <c r="M28" s="174"/>
      <c r="N28" s="448"/>
      <c r="O28" s="448"/>
      <c r="P28" s="449"/>
      <c r="Q28" s="152">
        <f>P28-H28*VLOOKUP(C28,Unit_Rates!$C$7:$E$51,3,FALSE)</f>
        <v>0</v>
      </c>
      <c r="R28" s="243">
        <v>0</v>
      </c>
      <c r="S28" s="243">
        <v>0</v>
      </c>
      <c r="T28" s="243">
        <v>0</v>
      </c>
      <c r="U28" s="243">
        <v>0</v>
      </c>
      <c r="V28" s="243">
        <v>0</v>
      </c>
      <c r="W28" s="243">
        <v>0</v>
      </c>
      <c r="X28" s="243">
        <v>0</v>
      </c>
      <c r="Y28" s="77">
        <f t="shared" si="3"/>
        <v>0</v>
      </c>
    </row>
    <row r="29" spans="2:33" x14ac:dyDescent="0.25">
      <c r="B29" s="84"/>
      <c r="C29" s="23" t="s">
        <v>147</v>
      </c>
      <c r="D29" t="str">
        <f>INDEX(Unit_Rates!$C$7:$K$113,MATCH($C29,Unit_Rates!$C$7:$C$113,0),5)</f>
        <v>Subtransmission</v>
      </c>
      <c r="E29" t="str">
        <f>INDEX(Unit_Rates!$C$7:$K$113,MATCH($C29,Unit_Rates!$C$7:$C$113,0),6)</f>
        <v>Augmentation</v>
      </c>
      <c r="F29" t="str">
        <f t="shared" si="4"/>
        <v>SubtransmissionAugmentation</v>
      </c>
      <c r="G29" s="170">
        <f>INDEX(Unit_Rates!$C$7:$K$113,MATCH($C29,Unit_Rates!$C$7:$C$113,0),7)</f>
        <v>91.292437209302321</v>
      </c>
      <c r="H29" s="171"/>
      <c r="I29" s="123" t="s">
        <v>294</v>
      </c>
      <c r="J29" s="165"/>
      <c r="K29" s="172">
        <f t="shared" si="8"/>
        <v>0</v>
      </c>
      <c r="L29" s="173">
        <f t="shared" si="2"/>
        <v>0</v>
      </c>
      <c r="M29" s="174"/>
      <c r="N29" s="448"/>
      <c r="O29" s="448"/>
      <c r="P29" s="449"/>
      <c r="Q29" s="152">
        <f>P29-H29*VLOOKUP(C29,Unit_Rates!$C$7:$E$51,3,FALSE)</f>
        <v>0</v>
      </c>
      <c r="R29" s="243">
        <v>0</v>
      </c>
      <c r="S29" s="243">
        <v>0</v>
      </c>
      <c r="T29" s="243">
        <v>0</v>
      </c>
      <c r="U29" s="243">
        <v>0</v>
      </c>
      <c r="V29" s="243">
        <v>0</v>
      </c>
      <c r="W29" s="243">
        <v>0</v>
      </c>
      <c r="X29" s="243">
        <v>0</v>
      </c>
      <c r="Y29" s="77">
        <f t="shared" si="3"/>
        <v>0</v>
      </c>
    </row>
    <row r="30" spans="2:33" x14ac:dyDescent="0.25">
      <c r="B30" s="84"/>
      <c r="C30" s="23" t="s">
        <v>149</v>
      </c>
      <c r="D30" t="str">
        <f>INDEX(Unit_Rates!$C$7:$K$113,MATCH($C30,Unit_Rates!$C$7:$C$113,0),5)</f>
        <v>Subtransmission</v>
      </c>
      <c r="E30" t="str">
        <f>INDEX(Unit_Rates!$C$7:$K$113,MATCH($C30,Unit_Rates!$C$7:$C$113,0),6)</f>
        <v>Augmentation</v>
      </c>
      <c r="F30" t="str">
        <f t="shared" si="4"/>
        <v>SubtransmissionAugmentation</v>
      </c>
      <c r="G30" s="170">
        <f>INDEX(Unit_Rates!$C$7:$K$113,MATCH($C30,Unit_Rates!$C$7:$C$113,0),7)</f>
        <v>0</v>
      </c>
      <c r="H30" s="171"/>
      <c r="I30" s="123" t="s">
        <v>294</v>
      </c>
      <c r="J30" s="165"/>
      <c r="K30" s="172">
        <f t="shared" si="8"/>
        <v>0</v>
      </c>
      <c r="L30" s="173">
        <f t="shared" si="2"/>
        <v>0</v>
      </c>
      <c r="M30" s="174"/>
      <c r="N30" s="448"/>
      <c r="O30" s="448"/>
      <c r="P30" s="449"/>
      <c r="Q30" s="152">
        <f>P30-H30*VLOOKUP(C30,Unit_Rates!$C$7:$E$51,3,FALSE)</f>
        <v>0</v>
      </c>
      <c r="R30" s="243">
        <v>0</v>
      </c>
      <c r="S30" s="243">
        <v>0</v>
      </c>
      <c r="T30" s="243">
        <v>0</v>
      </c>
      <c r="U30" s="243">
        <v>0</v>
      </c>
      <c r="V30" s="243">
        <v>0</v>
      </c>
      <c r="W30" s="243">
        <v>0</v>
      </c>
      <c r="X30" s="243">
        <v>0</v>
      </c>
      <c r="Y30" s="77">
        <f t="shared" si="3"/>
        <v>0</v>
      </c>
    </row>
    <row r="31" spans="2:33" x14ac:dyDescent="0.25">
      <c r="B31" s="84"/>
      <c r="C31" s="23" t="s">
        <v>150</v>
      </c>
      <c r="D31" t="str">
        <f>INDEX(Unit_Rates!$C$7:$K$113,MATCH($C31,Unit_Rates!$C$7:$C$113,0),5)</f>
        <v>Subtransmission</v>
      </c>
      <c r="E31" t="str">
        <f>INDEX(Unit_Rates!$C$7:$K$113,MATCH($C31,Unit_Rates!$C$7:$C$113,0),6)</f>
        <v>Augmentation</v>
      </c>
      <c r="F31" t="str">
        <f t="shared" si="4"/>
        <v>SubtransmissionAugmentation</v>
      </c>
      <c r="G31" s="170">
        <f>INDEX(Unit_Rates!$C$7:$K$113,MATCH($C31,Unit_Rates!$C$7:$C$113,0),7)</f>
        <v>107.00599999999997</v>
      </c>
      <c r="H31" s="171"/>
      <c r="I31" s="123" t="s">
        <v>294</v>
      </c>
      <c r="J31" s="165"/>
      <c r="K31" s="172">
        <f t="shared" si="8"/>
        <v>0</v>
      </c>
      <c r="L31" s="173">
        <f t="shared" si="2"/>
        <v>0</v>
      </c>
      <c r="M31" s="174"/>
      <c r="N31" s="448"/>
      <c r="O31" s="448"/>
      <c r="P31" s="449"/>
      <c r="Q31" s="152">
        <f>P31-H31*VLOOKUP(C31,Unit_Rates!$C$7:$E$51,3,FALSE)</f>
        <v>0</v>
      </c>
      <c r="R31" s="243">
        <v>0</v>
      </c>
      <c r="S31" s="243">
        <v>0</v>
      </c>
      <c r="T31" s="243">
        <v>0</v>
      </c>
      <c r="U31" s="243">
        <v>0</v>
      </c>
      <c r="V31" s="243">
        <v>0</v>
      </c>
      <c r="W31" s="243">
        <v>0</v>
      </c>
      <c r="X31" s="243">
        <v>0</v>
      </c>
      <c r="Y31" s="77">
        <f t="shared" si="3"/>
        <v>0</v>
      </c>
    </row>
    <row r="32" spans="2:33" x14ac:dyDescent="0.25">
      <c r="B32" s="84"/>
      <c r="C32" s="23" t="s">
        <v>152</v>
      </c>
      <c r="D32" t="str">
        <f>INDEX(Unit_Rates!$C$7:$K$113,MATCH($C32,Unit_Rates!$C$7:$C$113,0),5)</f>
        <v>Subtransmission</v>
      </c>
      <c r="E32" t="str">
        <f>INDEX(Unit_Rates!$C$7:$K$113,MATCH($C32,Unit_Rates!$C$7:$C$113,0),6)</f>
        <v>Augmentation</v>
      </c>
      <c r="F32" t="str">
        <f t="shared" si="4"/>
        <v>SubtransmissionAugmentation</v>
      </c>
      <c r="G32" s="170">
        <f>INDEX(Unit_Rates!$C$7:$K$113,MATCH($C32,Unit_Rates!$C$7:$C$113,0),7)</f>
        <v>7.6639999999999979</v>
      </c>
      <c r="H32" s="171"/>
      <c r="I32" s="123" t="s">
        <v>294</v>
      </c>
      <c r="J32" s="165"/>
      <c r="K32" s="172">
        <f t="shared" si="8"/>
        <v>0</v>
      </c>
      <c r="L32" s="173">
        <f t="shared" si="2"/>
        <v>0</v>
      </c>
      <c r="M32" s="174"/>
      <c r="N32" s="448"/>
      <c r="O32" s="448"/>
      <c r="P32" s="449"/>
      <c r="Q32" s="152">
        <f>P32-H32*VLOOKUP(C32,Unit_Rates!$C$7:$E$51,3,FALSE)</f>
        <v>0</v>
      </c>
      <c r="R32" s="243">
        <v>0</v>
      </c>
      <c r="S32" s="243">
        <v>0</v>
      </c>
      <c r="T32" s="243">
        <v>0</v>
      </c>
      <c r="U32" s="243">
        <v>0</v>
      </c>
      <c r="V32" s="243">
        <v>0</v>
      </c>
      <c r="W32" s="243">
        <v>0</v>
      </c>
      <c r="X32" s="243">
        <v>0</v>
      </c>
      <c r="Y32" s="77">
        <f t="shared" si="3"/>
        <v>0</v>
      </c>
    </row>
    <row r="33" spans="2:25" x14ac:dyDescent="0.25">
      <c r="B33" s="84"/>
      <c r="C33" s="23" t="s">
        <v>156</v>
      </c>
      <c r="D33" t="str">
        <f>INDEX(Unit_Rates!$C$7:$K$113,MATCH($C33,Unit_Rates!$C$7:$C$113,0),5)</f>
        <v>Subtransmission</v>
      </c>
      <c r="E33" t="str">
        <f>INDEX(Unit_Rates!$C$7:$K$113,MATCH($C33,Unit_Rates!$C$7:$C$113,0),6)</f>
        <v>Augmentation</v>
      </c>
      <c r="F33" t="str">
        <f t="shared" si="4"/>
        <v>SubtransmissionAugmentation</v>
      </c>
      <c r="G33" s="170">
        <f>INDEX(Unit_Rates!$C$7:$K$113,MATCH($C33,Unit_Rates!$C$7:$C$113,0),7)</f>
        <v>27.162999999999993</v>
      </c>
      <c r="H33" s="171">
        <v>4</v>
      </c>
      <c r="I33" s="123" t="s">
        <v>294</v>
      </c>
      <c r="J33" s="165"/>
      <c r="K33" s="172">
        <f t="shared" si="8"/>
        <v>108.65199999999997</v>
      </c>
      <c r="L33" s="173">
        <f t="shared" si="2"/>
        <v>0</v>
      </c>
      <c r="M33" s="174"/>
      <c r="N33" s="448"/>
      <c r="O33" s="448"/>
      <c r="P33" s="449"/>
      <c r="Q33" s="152">
        <f>P33-H33*VLOOKUP(C33,Unit_Rates!$C$7:$E$51,3,FALSE)</f>
        <v>0</v>
      </c>
      <c r="R33" s="243">
        <v>0</v>
      </c>
      <c r="S33" s="243">
        <v>0</v>
      </c>
      <c r="T33" s="243">
        <v>0</v>
      </c>
      <c r="U33" s="243">
        <v>0</v>
      </c>
      <c r="V33" s="243">
        <v>0</v>
      </c>
      <c r="W33" s="243">
        <v>0</v>
      </c>
      <c r="X33" s="243">
        <v>0</v>
      </c>
      <c r="Y33" s="77">
        <f t="shared" si="3"/>
        <v>0</v>
      </c>
    </row>
    <row r="34" spans="2:25" x14ac:dyDescent="0.25">
      <c r="B34" s="84"/>
      <c r="C34" s="23" t="s">
        <v>157</v>
      </c>
      <c r="D34" t="str">
        <f>INDEX(Unit_Rates!$C$7:$K$113,MATCH($C34,Unit_Rates!$C$7:$C$113,0),5)</f>
        <v>Subtransmission</v>
      </c>
      <c r="E34" t="str">
        <f>INDEX(Unit_Rates!$C$7:$K$113,MATCH($C34,Unit_Rates!$C$7:$C$113,0),6)</f>
        <v>Augmentation</v>
      </c>
      <c r="F34" t="str">
        <f t="shared" si="4"/>
        <v>SubtransmissionAugmentation</v>
      </c>
      <c r="G34" s="170">
        <f>INDEX(Unit_Rates!$C$7:$K$113,MATCH($C34,Unit_Rates!$C$7:$C$113,0),7)</f>
        <v>0</v>
      </c>
      <c r="H34" s="171"/>
      <c r="I34" s="123" t="s">
        <v>294</v>
      </c>
      <c r="J34" s="165"/>
      <c r="K34" s="172">
        <f t="shared" si="8"/>
        <v>0</v>
      </c>
      <c r="L34" s="173">
        <f t="shared" si="2"/>
        <v>0</v>
      </c>
      <c r="M34" s="174"/>
      <c r="N34" s="448"/>
      <c r="O34" s="448"/>
      <c r="P34" s="449"/>
      <c r="Q34" s="152">
        <f>P34-H34*VLOOKUP(C34,Unit_Rates!$C$7:$E$51,3,FALSE)</f>
        <v>0</v>
      </c>
      <c r="R34" s="243">
        <v>0</v>
      </c>
      <c r="S34" s="243">
        <v>0</v>
      </c>
      <c r="T34" s="243">
        <v>0</v>
      </c>
      <c r="U34" s="243">
        <v>0</v>
      </c>
      <c r="V34" s="243">
        <v>0</v>
      </c>
      <c r="W34" s="243">
        <v>0</v>
      </c>
      <c r="X34" s="243">
        <v>0</v>
      </c>
      <c r="Y34" s="77">
        <f t="shared" si="3"/>
        <v>0</v>
      </c>
    </row>
    <row r="35" spans="2:25" x14ac:dyDescent="0.25">
      <c r="B35" s="84"/>
      <c r="C35" s="23" t="s">
        <v>155</v>
      </c>
      <c r="D35" t="str">
        <f>INDEX(Unit_Rates!$C$7:$K$113,MATCH($C35,Unit_Rates!$C$7:$C$113,0),5)</f>
        <v>Subtransmission</v>
      </c>
      <c r="E35" t="str">
        <f>INDEX(Unit_Rates!$C$7:$K$113,MATCH($C35,Unit_Rates!$C$7:$C$113,0),6)</f>
        <v>Augmentation</v>
      </c>
      <c r="F35" t="str">
        <f t="shared" si="4"/>
        <v>SubtransmissionAugmentation</v>
      </c>
      <c r="G35" s="170">
        <f>INDEX(Unit_Rates!$C$7:$K$113,MATCH($C35,Unit_Rates!$C$7:$C$113,0),7)</f>
        <v>0</v>
      </c>
      <c r="H35" s="171"/>
      <c r="I35" s="123" t="s">
        <v>294</v>
      </c>
      <c r="J35" s="165"/>
      <c r="K35" s="172">
        <f t="shared" si="8"/>
        <v>0</v>
      </c>
      <c r="L35" s="173">
        <f t="shared" si="2"/>
        <v>0</v>
      </c>
      <c r="M35" s="174"/>
      <c r="N35" s="448"/>
      <c r="O35" s="448"/>
      <c r="P35" s="449"/>
      <c r="Q35" s="152">
        <f>P35-H35*VLOOKUP(C35,Unit_Rates!$C$7:$E$51,3,FALSE)</f>
        <v>0</v>
      </c>
      <c r="R35" s="243">
        <v>0</v>
      </c>
      <c r="S35" s="243">
        <v>0</v>
      </c>
      <c r="T35" s="243">
        <v>0</v>
      </c>
      <c r="U35" s="243">
        <v>0</v>
      </c>
      <c r="V35" s="243">
        <v>0</v>
      </c>
      <c r="W35" s="243">
        <v>0</v>
      </c>
      <c r="X35" s="243">
        <v>0</v>
      </c>
      <c r="Y35" s="77">
        <f t="shared" si="3"/>
        <v>0</v>
      </c>
    </row>
    <row r="36" spans="2:25" x14ac:dyDescent="0.25">
      <c r="B36" s="84"/>
      <c r="C36" s="23" t="s">
        <v>159</v>
      </c>
      <c r="D36" t="str">
        <f>INDEX(Unit_Rates!$C$7:$K$113,MATCH($C36,Unit_Rates!$C$7:$C$113,0),5)</f>
        <v>Subtransmission</v>
      </c>
      <c r="E36" t="str">
        <f>INDEX(Unit_Rates!$C$7:$K$113,MATCH($C36,Unit_Rates!$C$7:$C$113,0),6)</f>
        <v>Augmentation</v>
      </c>
      <c r="F36" t="str">
        <f t="shared" si="4"/>
        <v>SubtransmissionAugmentation</v>
      </c>
      <c r="G36" s="170">
        <f>INDEX(Unit_Rates!$C$7:$K$113,MATCH($C36,Unit_Rates!$C$7:$C$113,0),7)</f>
        <v>0.61999999999999977</v>
      </c>
      <c r="H36" s="171"/>
      <c r="I36" s="123" t="s">
        <v>294</v>
      </c>
      <c r="J36" s="165"/>
      <c r="K36" s="172">
        <f t="shared" si="8"/>
        <v>0</v>
      </c>
      <c r="L36" s="173">
        <f t="shared" si="2"/>
        <v>0</v>
      </c>
      <c r="M36" s="174"/>
      <c r="N36" s="448"/>
      <c r="O36" s="448"/>
      <c r="P36" s="449"/>
      <c r="Q36" s="152">
        <f>P36-H36*VLOOKUP(C36,Unit_Rates!$C$7:$E$51,3,FALSE)</f>
        <v>0</v>
      </c>
      <c r="R36" s="243">
        <v>0</v>
      </c>
      <c r="S36" s="243">
        <v>0</v>
      </c>
      <c r="T36" s="243">
        <v>0</v>
      </c>
      <c r="U36" s="243">
        <v>0</v>
      </c>
      <c r="V36" s="243">
        <v>0</v>
      </c>
      <c r="W36" s="243">
        <v>0</v>
      </c>
      <c r="X36" s="243">
        <v>0</v>
      </c>
      <c r="Y36" s="77">
        <f t="shared" si="3"/>
        <v>0</v>
      </c>
    </row>
    <row r="37" spans="2:25" x14ac:dyDescent="0.25">
      <c r="B37" s="84"/>
      <c r="C37" s="23" t="s">
        <v>179</v>
      </c>
      <c r="D37" t="str">
        <f>INDEX(Unit_Rates!$C$7:$K$113,MATCH($C37,Unit_Rates!$C$7:$C$113,0),5)</f>
        <v>Subtransmission</v>
      </c>
      <c r="E37" t="str">
        <f>INDEX(Unit_Rates!$C$7:$K$113,MATCH($C37,Unit_Rates!$C$7:$C$113,0),6)</f>
        <v>Augmentation</v>
      </c>
      <c r="F37" t="str">
        <f t="shared" si="4"/>
        <v>SubtransmissionAugmentation</v>
      </c>
      <c r="G37" s="170">
        <f>INDEX(Unit_Rates!$C$7:$K$113,MATCH($C37,Unit_Rates!$C$7:$C$113,0),7)</f>
        <v>0</v>
      </c>
      <c r="H37" s="171">
        <v>1</v>
      </c>
      <c r="I37" s="123" t="s">
        <v>294</v>
      </c>
      <c r="J37" s="165"/>
      <c r="K37" s="172">
        <f t="shared" si="8"/>
        <v>0</v>
      </c>
      <c r="L37" s="173">
        <f t="shared" si="2"/>
        <v>0</v>
      </c>
      <c r="M37" s="174"/>
      <c r="N37" s="448"/>
      <c r="O37" s="448"/>
      <c r="P37" s="449"/>
      <c r="Q37" s="152">
        <f>P37-H37*VLOOKUP(C37,Unit_Rates!$C$7:$E$51,3,FALSE)</f>
        <v>0</v>
      </c>
      <c r="R37" s="243">
        <v>0</v>
      </c>
      <c r="S37" s="243">
        <v>0</v>
      </c>
      <c r="T37" s="243">
        <v>0</v>
      </c>
      <c r="U37" s="243">
        <v>0</v>
      </c>
      <c r="V37" s="243">
        <v>0</v>
      </c>
      <c r="W37" s="243">
        <v>0</v>
      </c>
      <c r="X37" s="243">
        <v>0</v>
      </c>
      <c r="Y37" s="77">
        <f t="shared" si="3"/>
        <v>0</v>
      </c>
    </row>
    <row r="38" spans="2:25" x14ac:dyDescent="0.25">
      <c r="B38" s="84"/>
      <c r="C38" s="23" t="s">
        <v>161</v>
      </c>
      <c r="D38" t="str">
        <f>INDEX(Unit_Rates!$C$7:$K$113,MATCH($C38,Unit_Rates!$C$7:$C$113,0),5)</f>
        <v>Subtransmission</v>
      </c>
      <c r="E38" t="str">
        <f>INDEX(Unit_Rates!$C$7:$K$113,MATCH($C38,Unit_Rates!$C$7:$C$113,0),6)</f>
        <v>Augmentation</v>
      </c>
      <c r="F38" t="str">
        <f t="shared" si="4"/>
        <v>SubtransmissionAugmentation</v>
      </c>
      <c r="G38" s="170">
        <f>INDEX(Unit_Rates!$C$7:$K$113,MATCH($C38,Unit_Rates!$C$7:$C$113,0),7)</f>
        <v>93.853999999999985</v>
      </c>
      <c r="H38" s="171">
        <v>1</v>
      </c>
      <c r="I38" s="123" t="s">
        <v>294</v>
      </c>
      <c r="J38" s="165"/>
      <c r="K38" s="172">
        <f t="shared" si="8"/>
        <v>93.853999999999985</v>
      </c>
      <c r="L38" s="173">
        <f t="shared" si="2"/>
        <v>0</v>
      </c>
      <c r="M38" s="174"/>
      <c r="N38" s="448"/>
      <c r="O38" s="448"/>
      <c r="P38" s="449"/>
      <c r="Q38" s="152">
        <f>P38-H38*VLOOKUP(C38,Unit_Rates!$C$7:$E$51,3,FALSE)</f>
        <v>0</v>
      </c>
      <c r="R38" s="243">
        <v>0</v>
      </c>
      <c r="S38" s="243">
        <v>0</v>
      </c>
      <c r="T38" s="243">
        <v>0</v>
      </c>
      <c r="U38" s="243">
        <v>0</v>
      </c>
      <c r="V38" s="243">
        <v>0</v>
      </c>
      <c r="W38" s="243">
        <v>0</v>
      </c>
      <c r="X38" s="243">
        <v>0</v>
      </c>
      <c r="Y38" s="77">
        <f t="shared" si="3"/>
        <v>0</v>
      </c>
    </row>
    <row r="39" spans="2:25" x14ac:dyDescent="0.25">
      <c r="B39" s="84"/>
      <c r="C39" s="23" t="s">
        <v>160</v>
      </c>
      <c r="D39" t="str">
        <f>INDEX(Unit_Rates!$C$7:$K$113,MATCH($C39,Unit_Rates!$C$7:$C$113,0),5)</f>
        <v>Subtransmission</v>
      </c>
      <c r="E39" t="str">
        <f>INDEX(Unit_Rates!$C$7:$K$113,MATCH($C39,Unit_Rates!$C$7:$C$113,0),6)</f>
        <v>Augmentation</v>
      </c>
      <c r="F39" t="str">
        <f t="shared" ref="F39" si="9">D39&amp;E39</f>
        <v>SubtransmissionAugmentation</v>
      </c>
      <c r="G39" s="170">
        <f>INDEX(Unit_Rates!$C$7:$K$113,MATCH($C39,Unit_Rates!$C$7:$C$113,0),7)</f>
        <v>26.222306976744186</v>
      </c>
      <c r="H39" s="171">
        <v>1</v>
      </c>
      <c r="I39" s="123" t="s">
        <v>294</v>
      </c>
      <c r="J39" s="165"/>
      <c r="K39" s="172">
        <f t="shared" ref="K39" si="10">G39*H39</f>
        <v>26.222306976744186</v>
      </c>
      <c r="L39" s="173">
        <f t="shared" ref="L39" si="11">SUMPRODUCT(R$5:X$5,R39:X39)/Thousands</f>
        <v>0</v>
      </c>
      <c r="M39" s="174"/>
      <c r="N39" s="448"/>
      <c r="O39" s="448"/>
      <c r="P39" s="449"/>
      <c r="Q39" s="152">
        <f>P39-H39*VLOOKUP(C39,Unit_Rates!$C$7:$E$51,3,FALSE)</f>
        <v>0</v>
      </c>
      <c r="R39" s="243">
        <v>0</v>
      </c>
      <c r="S39" s="243">
        <v>0</v>
      </c>
      <c r="T39" s="243">
        <v>0</v>
      </c>
      <c r="U39" s="243">
        <v>0</v>
      </c>
      <c r="V39" s="243">
        <v>0</v>
      </c>
      <c r="W39" s="243">
        <v>0</v>
      </c>
      <c r="X39" s="243">
        <v>0</v>
      </c>
      <c r="Y39" s="77">
        <f t="shared" ref="Y39" si="12">SUM(R39:X39)</f>
        <v>0</v>
      </c>
    </row>
    <row r="40" spans="2:25" x14ac:dyDescent="0.25">
      <c r="B40" s="84"/>
      <c r="C40" s="23" t="s">
        <v>441</v>
      </c>
      <c r="D40" t="str">
        <f>INDEX(Unit_Rates!$C$7:$K$113,MATCH($C40,Unit_Rates!$C$7:$C$113,0),5)</f>
        <v>Subtransmission</v>
      </c>
      <c r="E40" t="str">
        <f>INDEX(Unit_Rates!$C$7:$K$113,MATCH($C40,Unit_Rates!$C$7:$C$113,0),6)</f>
        <v>Augmentation</v>
      </c>
      <c r="F40" t="str">
        <f t="shared" si="4"/>
        <v>SubtransmissionAugmentation</v>
      </c>
      <c r="G40" s="170">
        <f>INDEX(Unit_Rates!$C$7:$K$113,MATCH($C40,Unit_Rates!$C$7:$C$113,0),7)</f>
        <v>109.17591463414668</v>
      </c>
      <c r="H40" s="171">
        <v>1</v>
      </c>
      <c r="I40" s="123" t="s">
        <v>294</v>
      </c>
      <c r="J40" s="165"/>
      <c r="K40" s="172">
        <f t="shared" si="8"/>
        <v>109.17591463414668</v>
      </c>
      <c r="L40" s="173">
        <f t="shared" si="2"/>
        <v>0</v>
      </c>
      <c r="M40" s="174"/>
      <c r="N40" s="448"/>
      <c r="O40" s="448"/>
      <c r="P40" s="449"/>
      <c r="Q40" s="152">
        <f>P40-H40*VLOOKUP(C40,Unit_Rates!$C$7:$E$51,3,FALSE)</f>
        <v>0</v>
      </c>
      <c r="R40" s="243">
        <v>0</v>
      </c>
      <c r="S40" s="243">
        <v>0</v>
      </c>
      <c r="T40" s="243">
        <v>0</v>
      </c>
      <c r="U40" s="243">
        <v>0</v>
      </c>
      <c r="V40" s="243">
        <v>0</v>
      </c>
      <c r="W40" s="243">
        <v>0</v>
      </c>
      <c r="X40" s="243">
        <v>0</v>
      </c>
      <c r="Y40" s="77">
        <f t="shared" si="3"/>
        <v>0</v>
      </c>
    </row>
    <row r="41" spans="2:25" x14ac:dyDescent="0.25">
      <c r="B41" s="84"/>
      <c r="C41" s="23" t="s">
        <v>169</v>
      </c>
      <c r="D41" t="str">
        <f>INDEX(Unit_Rates!$C$7:$K$113,MATCH($C41,Unit_Rates!$C$7:$C$113,0),5)</f>
        <v>Subtransmission</v>
      </c>
      <c r="E41" t="str">
        <f>INDEX(Unit_Rates!$C$7:$K$113,MATCH($C41,Unit_Rates!$C$7:$C$113,0),6)</f>
        <v>Augmentation</v>
      </c>
      <c r="F41" t="str">
        <f t="shared" si="4"/>
        <v>SubtransmissionAugmentation</v>
      </c>
      <c r="G41" s="170">
        <f>INDEX(Unit_Rates!$C$7:$K$113,MATCH($C41,Unit_Rates!$C$7:$C$113,0),7)</f>
        <v>174.5855255813953</v>
      </c>
      <c r="H41" s="171"/>
      <c r="I41" s="123" t="s">
        <v>294</v>
      </c>
      <c r="J41" s="165"/>
      <c r="K41" s="172">
        <f t="shared" si="8"/>
        <v>0</v>
      </c>
      <c r="L41" s="173">
        <f t="shared" si="2"/>
        <v>0</v>
      </c>
      <c r="M41" s="174"/>
      <c r="N41" s="448"/>
      <c r="O41" s="448"/>
      <c r="P41" s="449"/>
      <c r="Q41" s="152">
        <f>P41-H41*VLOOKUP(C41,Unit_Rates!$C$7:$E$51,3,FALSE)</f>
        <v>0</v>
      </c>
      <c r="R41" s="243">
        <v>0</v>
      </c>
      <c r="S41" s="243">
        <v>0</v>
      </c>
      <c r="T41" s="243">
        <v>0</v>
      </c>
      <c r="U41" s="243">
        <v>0</v>
      </c>
      <c r="V41" s="243">
        <v>0</v>
      </c>
      <c r="W41" s="243">
        <v>0</v>
      </c>
      <c r="X41" s="243">
        <v>0</v>
      </c>
      <c r="Y41" s="77">
        <f t="shared" si="3"/>
        <v>0</v>
      </c>
    </row>
    <row r="42" spans="2:25" x14ac:dyDescent="0.25">
      <c r="B42" s="84"/>
      <c r="C42" s="23" t="s">
        <v>171</v>
      </c>
      <c r="D42" t="str">
        <f>INDEX(Unit_Rates!$C$7:$K$113,MATCH($C42,Unit_Rates!$C$7:$C$113,0),5)</f>
        <v>Subtransmission</v>
      </c>
      <c r="E42" t="str">
        <f>INDEX(Unit_Rates!$C$7:$K$113,MATCH($C42,Unit_Rates!$C$7:$C$113,0),6)</f>
        <v>Augmentation</v>
      </c>
      <c r="F42" t="str">
        <f t="shared" si="4"/>
        <v>SubtransmissionAugmentation</v>
      </c>
      <c r="G42" s="170">
        <f>INDEX(Unit_Rates!$C$7:$K$113,MATCH($C42,Unit_Rates!$C$7:$C$113,0),7)</f>
        <v>369.03899999999987</v>
      </c>
      <c r="H42" s="171"/>
      <c r="I42" s="123" t="s">
        <v>294</v>
      </c>
      <c r="J42" s="165"/>
      <c r="K42" s="172">
        <f t="shared" si="8"/>
        <v>0</v>
      </c>
      <c r="L42" s="173">
        <f t="shared" si="2"/>
        <v>0</v>
      </c>
      <c r="M42" s="174"/>
      <c r="N42" s="448"/>
      <c r="O42" s="448"/>
      <c r="P42" s="449"/>
      <c r="Q42" s="152">
        <f>P42-H42*VLOOKUP(C42,Unit_Rates!$C$7:$E$51,3,FALSE)</f>
        <v>0</v>
      </c>
      <c r="R42" s="243">
        <v>0</v>
      </c>
      <c r="S42" s="243">
        <v>0</v>
      </c>
      <c r="T42" s="243">
        <v>0</v>
      </c>
      <c r="U42" s="243">
        <v>0</v>
      </c>
      <c r="V42" s="243">
        <v>0</v>
      </c>
      <c r="W42" s="243">
        <v>0</v>
      </c>
      <c r="X42" s="243">
        <v>0</v>
      </c>
      <c r="Y42" s="77">
        <f t="shared" si="3"/>
        <v>0</v>
      </c>
    </row>
    <row r="43" spans="2:25" x14ac:dyDescent="0.25">
      <c r="B43" s="84"/>
      <c r="C43" s="23" t="s">
        <v>173</v>
      </c>
      <c r="D43" t="str">
        <f>INDEX(Unit_Rates!$C$7:$K$113,MATCH($C43,Unit_Rates!$C$7:$C$113,0),5)</f>
        <v>Subtransmission</v>
      </c>
      <c r="E43" t="str">
        <f>INDEX(Unit_Rates!$C$7:$K$113,MATCH($C43,Unit_Rates!$C$7:$C$113,0),6)</f>
        <v>Augmentation</v>
      </c>
      <c r="F43" t="str">
        <f t="shared" si="4"/>
        <v>SubtransmissionAugmentation</v>
      </c>
      <c r="G43" s="170">
        <v>0.14105567795625001</v>
      </c>
      <c r="H43" s="171">
        <v>1120</v>
      </c>
      <c r="I43" s="123" t="s">
        <v>295</v>
      </c>
      <c r="J43" s="165"/>
      <c r="K43" s="172">
        <f t="shared" si="8"/>
        <v>157.98235931100001</v>
      </c>
      <c r="L43" s="173">
        <f t="shared" si="2"/>
        <v>0</v>
      </c>
      <c r="M43" s="174"/>
      <c r="N43" s="448"/>
      <c r="O43" s="451"/>
      <c r="P43" s="449"/>
      <c r="Q43" s="152"/>
      <c r="R43" s="243">
        <v>0</v>
      </c>
      <c r="S43" s="243">
        <v>0</v>
      </c>
      <c r="T43" s="243">
        <v>0</v>
      </c>
      <c r="U43" s="243">
        <v>0</v>
      </c>
      <c r="V43" s="243">
        <v>0</v>
      </c>
      <c r="W43" s="243">
        <v>0</v>
      </c>
      <c r="X43" s="243">
        <v>0</v>
      </c>
      <c r="Y43" s="77">
        <f t="shared" si="3"/>
        <v>0</v>
      </c>
    </row>
    <row r="44" spans="2:25" x14ac:dyDescent="0.25">
      <c r="B44" s="84"/>
      <c r="C44" s="23" t="s">
        <v>177</v>
      </c>
      <c r="D44" t="str">
        <f>INDEX(Unit_Rates!$C$7:$K$113,MATCH($C44,Unit_Rates!$C$7:$C$113,0),5)</f>
        <v>Subtransmission</v>
      </c>
      <c r="E44" t="str">
        <f>INDEX(Unit_Rates!$C$7:$K$113,MATCH($C44,Unit_Rates!$C$7:$C$113,0),6)</f>
        <v>Augmentation</v>
      </c>
      <c r="F44" t="str">
        <f t="shared" si="4"/>
        <v>SubtransmissionAugmentation</v>
      </c>
      <c r="G44" s="179">
        <f>INDEX(Unit_Rates!$C$7:$K$113,MATCH($C44,Unit_Rates!$C$7:$C$113,0),7)</f>
        <v>4.9999999999999996E-2</v>
      </c>
      <c r="H44" s="171"/>
      <c r="I44" s="123" t="s">
        <v>295</v>
      </c>
      <c r="J44" s="165"/>
      <c r="K44" s="172">
        <f t="shared" si="8"/>
        <v>0</v>
      </c>
      <c r="L44" s="173">
        <f t="shared" si="2"/>
        <v>0</v>
      </c>
      <c r="M44" s="174"/>
      <c r="N44" s="448"/>
      <c r="O44" s="448"/>
      <c r="P44" s="449"/>
      <c r="Q44" s="152">
        <f>P44-H44*VLOOKUP(C44,Unit_Rates!$C$7:$E$51,3,FALSE)</f>
        <v>0</v>
      </c>
      <c r="R44" s="243">
        <v>0</v>
      </c>
      <c r="S44" s="243">
        <v>0</v>
      </c>
      <c r="T44" s="243">
        <v>0</v>
      </c>
      <c r="U44" s="243">
        <v>0</v>
      </c>
      <c r="V44" s="243">
        <v>0</v>
      </c>
      <c r="W44" s="243">
        <v>0</v>
      </c>
      <c r="X44" s="243">
        <v>0</v>
      </c>
      <c r="Y44" s="77">
        <f t="shared" si="3"/>
        <v>0</v>
      </c>
    </row>
    <row r="45" spans="2:25" x14ac:dyDescent="0.25">
      <c r="B45" s="84"/>
      <c r="C45" s="23" t="s">
        <v>25</v>
      </c>
      <c r="D45" t="s">
        <v>3</v>
      </c>
      <c r="E45" t="s">
        <v>27</v>
      </c>
      <c r="F45" t="str">
        <f t="shared" si="4"/>
        <v>SubtransmissionAugmentation</v>
      </c>
      <c r="G45" s="170">
        <v>4.5717569958571431</v>
      </c>
      <c r="H45" s="171">
        <v>7</v>
      </c>
      <c r="I45" s="123" t="s">
        <v>294</v>
      </c>
      <c r="J45" s="165"/>
      <c r="K45" s="172">
        <f t="shared" si="8"/>
        <v>32.002298971000002</v>
      </c>
      <c r="L45" s="180">
        <f t="shared" si="2"/>
        <v>0</v>
      </c>
      <c r="M45" s="174"/>
      <c r="N45" s="448"/>
      <c r="O45" s="451"/>
      <c r="P45" s="449"/>
      <c r="Q45" s="22"/>
      <c r="R45" s="238"/>
      <c r="S45" s="238"/>
      <c r="T45" s="238"/>
      <c r="U45" s="238"/>
      <c r="V45" s="238"/>
      <c r="W45" s="238"/>
      <c r="X45" s="238"/>
      <c r="Y45" s="77"/>
    </row>
    <row r="46" spans="2:25" x14ac:dyDescent="0.25">
      <c r="B46" s="84"/>
      <c r="C46" s="23" t="s">
        <v>338</v>
      </c>
      <c r="D46" t="str">
        <f>INDEX(Unit_Rates!$C$7:$K$113,MATCH($C46,Unit_Rates!$C$7:$C$113,0),5)</f>
        <v>Subtransmission</v>
      </c>
      <c r="E46" t="str">
        <f>INDEX(Unit_Rates!$C$7:$K$113,MATCH($C46,Unit_Rates!$C$7:$C$113,0),6)</f>
        <v>Augmentation</v>
      </c>
      <c r="F46" t="str">
        <f t="shared" si="4"/>
        <v>SubtransmissionAugmentation</v>
      </c>
      <c r="G46" s="170">
        <f>INDEX(Unit_Rates!$C$7:$K$113,MATCH($C46,Unit_Rates!$C$7:$C$113,0),7)</f>
        <v>406.8</v>
      </c>
      <c r="H46" s="171"/>
      <c r="I46" s="123" t="s">
        <v>294</v>
      </c>
      <c r="J46" s="165"/>
      <c r="K46" s="172">
        <f t="shared" si="8"/>
        <v>0</v>
      </c>
      <c r="L46" s="180">
        <f t="shared" si="2"/>
        <v>0</v>
      </c>
      <c r="M46" s="174"/>
      <c r="N46" s="448"/>
      <c r="O46" s="448"/>
      <c r="P46" s="449"/>
      <c r="Q46" s="152">
        <f>P46-H46*VLOOKUP(C46,Unit_Rates!$C$7:$E$51,3,FALSE)</f>
        <v>0</v>
      </c>
      <c r="R46" s="238"/>
      <c r="S46" s="238"/>
      <c r="T46" s="238"/>
      <c r="U46" s="238"/>
      <c r="V46" s="238"/>
      <c r="W46" s="238"/>
      <c r="X46" s="238"/>
    </row>
    <row r="47" spans="2:25" x14ac:dyDescent="0.25">
      <c r="B47" s="84"/>
      <c r="C47" s="23" t="s">
        <v>183</v>
      </c>
      <c r="D47" t="str">
        <f>INDEX(Unit_Rates!$C$7:$K$113,MATCH($C47,Unit_Rates!$C$7:$C$113,0),5)</f>
        <v>Subtransmission</v>
      </c>
      <c r="E47" t="str">
        <f>INDEX(Unit_Rates!$C$7:$K$113,MATCH($C47,Unit_Rates!$C$7:$C$113,0),6)</f>
        <v>Augmentation</v>
      </c>
      <c r="F47" t="str">
        <f t="shared" si="4"/>
        <v>SubtransmissionAugmentation</v>
      </c>
      <c r="G47" s="170">
        <f>INDEX(Unit_Rates!$C$7:$K$113,MATCH($C47,Unit_Rates!$C$7:$C$113,0),7)</f>
        <v>0</v>
      </c>
      <c r="H47" s="171"/>
      <c r="I47" s="123" t="s">
        <v>294</v>
      </c>
      <c r="J47" s="165"/>
      <c r="K47" s="172">
        <f t="shared" si="8"/>
        <v>0</v>
      </c>
      <c r="L47" s="180">
        <f t="shared" si="2"/>
        <v>0</v>
      </c>
      <c r="M47" s="174"/>
      <c r="N47" s="448"/>
      <c r="O47" s="448"/>
      <c r="P47" s="449"/>
      <c r="Q47" s="152">
        <f>P47-H47*VLOOKUP(C47,Unit_Rates!$C$7:$E$51,3,FALSE)</f>
        <v>0</v>
      </c>
      <c r="R47" s="243">
        <v>0</v>
      </c>
      <c r="S47" s="243">
        <v>0</v>
      </c>
      <c r="T47" s="243">
        <v>0</v>
      </c>
      <c r="U47" s="243">
        <v>0</v>
      </c>
      <c r="V47" s="243">
        <v>0</v>
      </c>
      <c r="W47" s="243">
        <v>0</v>
      </c>
      <c r="X47" s="243">
        <v>0</v>
      </c>
      <c r="Y47" s="77">
        <f t="shared" ref="Y47:Y54" si="13">SUM(R47:X47)</f>
        <v>0</v>
      </c>
    </row>
    <row r="48" spans="2:25" x14ac:dyDescent="0.25">
      <c r="B48" s="84"/>
      <c r="C48" s="23"/>
      <c r="G48" s="170"/>
      <c r="H48" s="171"/>
      <c r="I48" s="167"/>
      <c r="J48" s="165"/>
      <c r="K48" s="149"/>
      <c r="L48" s="167"/>
      <c r="M48" s="169"/>
      <c r="N48" s="181"/>
      <c r="O48" s="181"/>
      <c r="P48" s="371"/>
      <c r="Q48" s="152"/>
      <c r="R48" s="243">
        <v>0</v>
      </c>
      <c r="S48" s="243">
        <v>0</v>
      </c>
      <c r="T48" s="243">
        <v>0</v>
      </c>
      <c r="U48" s="243">
        <v>0</v>
      </c>
      <c r="V48" s="243">
        <v>0</v>
      </c>
      <c r="W48" s="243">
        <v>0</v>
      </c>
      <c r="X48" s="243">
        <v>0</v>
      </c>
      <c r="Y48" s="77">
        <f t="shared" si="13"/>
        <v>0</v>
      </c>
    </row>
    <row r="49" spans="2:25" x14ac:dyDescent="0.25">
      <c r="B49" s="120" t="s">
        <v>296</v>
      </c>
      <c r="C49" s="23"/>
      <c r="G49" s="170"/>
      <c r="H49" s="171"/>
      <c r="I49" s="123"/>
      <c r="J49" s="153"/>
      <c r="K49" s="172"/>
      <c r="L49" s="172"/>
      <c r="M49" s="181"/>
      <c r="N49" s="182"/>
      <c r="O49" s="181"/>
      <c r="P49" s="293"/>
      <c r="Q49" s="152"/>
      <c r="R49" s="243">
        <v>0</v>
      </c>
      <c r="S49" s="243">
        <v>0</v>
      </c>
      <c r="T49" s="243">
        <v>0</v>
      </c>
      <c r="U49" s="243">
        <v>0</v>
      </c>
      <c r="V49" s="243">
        <v>0</v>
      </c>
      <c r="W49" s="243">
        <v>0</v>
      </c>
      <c r="X49" s="243">
        <v>0</v>
      </c>
      <c r="Y49" s="77">
        <f t="shared" si="13"/>
        <v>0</v>
      </c>
    </row>
    <row r="50" spans="2:25" x14ac:dyDescent="0.25">
      <c r="B50" s="84"/>
      <c r="C50" s="23" t="s">
        <v>187</v>
      </c>
      <c r="D50" t="str">
        <f>INDEX(Unit_Rates!$C$7:$K$113,MATCH($C50,Unit_Rates!$C$7:$C$113,0),5)</f>
        <v>SCADA/Network control</v>
      </c>
      <c r="E50" t="str">
        <f>INDEX(Unit_Rates!$C$7:$K$113,MATCH($C50,Unit_Rates!$C$7:$C$113,0),6)</f>
        <v>Augmentation</v>
      </c>
      <c r="F50" t="str">
        <f t="shared" ref="F50:F57" si="14">D50&amp;E50</f>
        <v>SCADA/Network controlAugmentation</v>
      </c>
      <c r="G50" s="170">
        <f>INDEX(Unit_Rates!$C$7:$K$113,MATCH($C50,Unit_Rates!$C$7:$C$113,0),7)</f>
        <v>48.982274401473298</v>
      </c>
      <c r="H50" s="171"/>
      <c r="I50" s="123" t="s">
        <v>294</v>
      </c>
      <c r="J50" s="165"/>
      <c r="K50" s="149">
        <f>G50*H50</f>
        <v>0</v>
      </c>
      <c r="L50" s="149">
        <f t="shared" ref="L50:L57" si="15">SUMPRODUCT(R$5:X$5,R50:X50)/Thousands</f>
        <v>0</v>
      </c>
      <c r="M50" s="151"/>
      <c r="N50" s="448"/>
      <c r="O50" s="448"/>
      <c r="P50" s="449"/>
      <c r="Q50" s="152">
        <f>P50-H50*VLOOKUP(C50,Unit_Rates!$C$58:$E$113,3,FALSE)</f>
        <v>0</v>
      </c>
      <c r="R50" s="243">
        <v>0</v>
      </c>
      <c r="S50" s="243">
        <v>0</v>
      </c>
      <c r="T50" s="243">
        <v>0</v>
      </c>
      <c r="U50" s="243">
        <v>0</v>
      </c>
      <c r="V50" s="243">
        <v>0</v>
      </c>
      <c r="W50" s="243">
        <v>0</v>
      </c>
      <c r="X50" s="243">
        <v>0</v>
      </c>
      <c r="Y50" s="77">
        <f t="shared" si="13"/>
        <v>0</v>
      </c>
    </row>
    <row r="51" spans="2:25" x14ac:dyDescent="0.25">
      <c r="B51" s="84"/>
      <c r="C51" s="23" t="s">
        <v>189</v>
      </c>
      <c r="D51" t="str">
        <f>INDEX(Unit_Rates!$C$7:$K$113,MATCH($C51,Unit_Rates!$C$7:$C$113,0),5)</f>
        <v>SCADA/Network control</v>
      </c>
      <c r="E51" t="str">
        <f>INDEX(Unit_Rates!$C$7:$K$113,MATCH($C51,Unit_Rates!$C$7:$C$113,0),6)</f>
        <v>Augmentation</v>
      </c>
      <c r="F51" t="str">
        <f t="shared" ref="F51" si="16">D51&amp;E51</f>
        <v>SCADA/Network controlAugmentation</v>
      </c>
      <c r="G51" s="170">
        <f>INDEX(Unit_Rates!$C$7:$K$113,MATCH($C51,Unit_Rates!$C$7:$C$113,0),7)</f>
        <v>61.81911602209945</v>
      </c>
      <c r="H51" s="171">
        <v>1</v>
      </c>
      <c r="I51" s="123" t="s">
        <v>294</v>
      </c>
      <c r="J51" s="165"/>
      <c r="K51" s="149">
        <f>G51*H51</f>
        <v>61.81911602209945</v>
      </c>
      <c r="L51" s="149">
        <f t="shared" ref="L51" si="17">SUMPRODUCT(R$5:X$5,R51:X51)/Thousands</f>
        <v>0</v>
      </c>
      <c r="M51" s="151"/>
      <c r="N51" s="448"/>
      <c r="O51" s="448"/>
      <c r="P51" s="449"/>
      <c r="Q51" s="152">
        <f>P51-H51*VLOOKUP(C51,Unit_Rates!$C$58:$E$113,3,FALSE)</f>
        <v>0</v>
      </c>
      <c r="R51" s="243">
        <v>0</v>
      </c>
      <c r="S51" s="243">
        <v>0</v>
      </c>
      <c r="T51" s="243">
        <v>0</v>
      </c>
      <c r="U51" s="243">
        <v>0</v>
      </c>
      <c r="V51" s="243">
        <v>0</v>
      </c>
      <c r="W51" s="243">
        <v>0</v>
      </c>
      <c r="X51" s="243">
        <v>0</v>
      </c>
      <c r="Y51" s="77">
        <f t="shared" ref="Y51" si="18">SUM(R51:X51)</f>
        <v>0</v>
      </c>
    </row>
    <row r="52" spans="2:25" x14ac:dyDescent="0.25">
      <c r="B52" s="84"/>
      <c r="C52" s="23" t="s">
        <v>190</v>
      </c>
      <c r="D52" t="str">
        <f>INDEX(Unit_Rates!$C$7:$K$113,MATCH($C52,Unit_Rates!$C$7:$C$113,0),5)</f>
        <v>SCADA/Network control</v>
      </c>
      <c r="E52" t="str">
        <f>INDEX(Unit_Rates!$C$7:$K$113,MATCH($C52,Unit_Rates!$C$7:$C$113,0),6)</f>
        <v>Augmentation</v>
      </c>
      <c r="F52" t="str">
        <f t="shared" si="14"/>
        <v>SCADA/Network controlAugmentation</v>
      </c>
      <c r="G52" s="170">
        <f>INDEX(Unit_Rates!$C$7:$K$113,MATCH($C52,Unit_Rates!$C$7:$C$113,0),7)</f>
        <v>6.2430939226519344</v>
      </c>
      <c r="H52" s="171">
        <v>1</v>
      </c>
      <c r="I52" s="123" t="s">
        <v>294</v>
      </c>
      <c r="J52" s="165"/>
      <c r="K52" s="149">
        <f>G52*H52</f>
        <v>6.2430939226519344</v>
      </c>
      <c r="L52" s="149">
        <f t="shared" si="15"/>
        <v>0</v>
      </c>
      <c r="M52" s="151"/>
      <c r="N52" s="448"/>
      <c r="O52" s="448"/>
      <c r="P52" s="449"/>
      <c r="Q52" s="152">
        <f>P52-H52*VLOOKUP(C52,Unit_Rates!$C$58:$E$113,3,FALSE)</f>
        <v>0</v>
      </c>
      <c r="R52" s="243">
        <v>0</v>
      </c>
      <c r="S52" s="243">
        <v>0</v>
      </c>
      <c r="T52" s="243">
        <v>0</v>
      </c>
      <c r="U52" s="243">
        <v>0</v>
      </c>
      <c r="V52" s="243">
        <v>0</v>
      </c>
      <c r="W52" s="243">
        <v>0</v>
      </c>
      <c r="X52" s="243">
        <v>0</v>
      </c>
      <c r="Y52" s="77">
        <f t="shared" si="13"/>
        <v>0</v>
      </c>
    </row>
    <row r="53" spans="2:25" x14ac:dyDescent="0.25">
      <c r="B53" s="84"/>
      <c r="C53" s="23" t="s">
        <v>192</v>
      </c>
      <c r="D53" t="str">
        <f>INDEX(Unit_Rates!$C$7:$K$113,MATCH($C53,Unit_Rates!$C$7:$C$113,0),5)</f>
        <v>SCADA/Network control</v>
      </c>
      <c r="E53" t="str">
        <f>INDEX(Unit_Rates!$C$7:$K$113,MATCH($C53,Unit_Rates!$C$7:$C$113,0),6)</f>
        <v>Augmentation</v>
      </c>
      <c r="F53" t="str">
        <f t="shared" si="14"/>
        <v>SCADA/Network controlAugmentation</v>
      </c>
      <c r="G53" s="170">
        <f>INDEX(Unit_Rates!$C$7:$K$113,MATCH($C53,Unit_Rates!$C$7:$C$113,0),7)</f>
        <v>8.6955893186003674</v>
      </c>
      <c r="H53" s="171"/>
      <c r="I53" s="123" t="s">
        <v>294</v>
      </c>
      <c r="J53" s="165"/>
      <c r="K53" s="149">
        <f t="shared" ref="K53:K55" si="19">G53*H53</f>
        <v>0</v>
      </c>
      <c r="L53" s="149">
        <f t="shared" si="15"/>
        <v>0</v>
      </c>
      <c r="M53" s="151"/>
      <c r="N53" s="448"/>
      <c r="O53" s="448"/>
      <c r="P53" s="449"/>
      <c r="Q53" s="152">
        <f>P53-H53*VLOOKUP(C53,Unit_Rates!$C$58:$E$113,3,FALSE)</f>
        <v>0</v>
      </c>
      <c r="R53" s="243">
        <v>0</v>
      </c>
      <c r="S53" s="243">
        <v>0</v>
      </c>
      <c r="T53" s="243">
        <v>0</v>
      </c>
      <c r="U53" s="243">
        <v>0</v>
      </c>
      <c r="V53" s="243">
        <v>0</v>
      </c>
      <c r="W53" s="243">
        <v>0</v>
      </c>
      <c r="X53" s="243">
        <v>0</v>
      </c>
      <c r="Y53" s="77">
        <f t="shared" si="13"/>
        <v>0</v>
      </c>
    </row>
    <row r="54" spans="2:25" x14ac:dyDescent="0.25">
      <c r="B54" s="84"/>
      <c r="C54" s="23" t="s">
        <v>193</v>
      </c>
      <c r="D54" t="str">
        <f>INDEX(Unit_Rates!$C$7:$K$113,MATCH($C54,Unit_Rates!$C$7:$C$113,0),5)</f>
        <v>SCADA/Network control</v>
      </c>
      <c r="E54" t="str">
        <f>INDEX(Unit_Rates!$C$7:$K$113,MATCH($C54,Unit_Rates!$C$7:$C$113,0),6)</f>
        <v>Augmentation</v>
      </c>
      <c r="F54" t="str">
        <f t="shared" si="14"/>
        <v>SCADA/Network controlAugmentation</v>
      </c>
      <c r="G54" s="170">
        <f>INDEX(Unit_Rates!$C$7:$K$113,MATCH($C54,Unit_Rates!$C$7:$C$113,0),7)</f>
        <v>98.007730202578273</v>
      </c>
      <c r="H54" s="171"/>
      <c r="I54" s="123" t="s">
        <v>294</v>
      </c>
      <c r="J54" s="165"/>
      <c r="K54" s="149">
        <f t="shared" si="19"/>
        <v>0</v>
      </c>
      <c r="L54" s="149">
        <f t="shared" si="15"/>
        <v>0</v>
      </c>
      <c r="M54" s="151"/>
      <c r="N54" s="448"/>
      <c r="O54" s="448"/>
      <c r="P54" s="449"/>
      <c r="Q54" s="152">
        <f>P54-H54*VLOOKUP(C54,Unit_Rates!$C$58:$E$113,3,FALSE)</f>
        <v>0</v>
      </c>
      <c r="R54" s="243">
        <v>0</v>
      </c>
      <c r="S54" s="243">
        <v>0</v>
      </c>
      <c r="T54" s="243">
        <v>0</v>
      </c>
      <c r="U54" s="243">
        <v>0</v>
      </c>
      <c r="V54" s="243">
        <v>0</v>
      </c>
      <c r="W54" s="243">
        <v>0</v>
      </c>
      <c r="X54" s="243">
        <v>0</v>
      </c>
      <c r="Y54" s="77">
        <f t="shared" si="13"/>
        <v>0</v>
      </c>
    </row>
    <row r="55" spans="2:25" x14ac:dyDescent="0.25">
      <c r="B55" s="84"/>
      <c r="C55" s="23" t="s">
        <v>297</v>
      </c>
      <c r="D55" t="s">
        <v>2</v>
      </c>
      <c r="E55" t="s">
        <v>27</v>
      </c>
      <c r="F55" t="s">
        <v>31</v>
      </c>
      <c r="G55" s="184">
        <v>6.1428571428571432</v>
      </c>
      <c r="H55" s="171">
        <v>7</v>
      </c>
      <c r="I55" s="123" t="s">
        <v>294</v>
      </c>
      <c r="J55" s="165"/>
      <c r="K55" s="149">
        <f t="shared" si="19"/>
        <v>43</v>
      </c>
      <c r="L55" s="149">
        <f t="shared" si="15"/>
        <v>0</v>
      </c>
      <c r="M55" s="151"/>
      <c r="N55" s="448"/>
      <c r="O55" s="451"/>
      <c r="P55" s="449"/>
      <c r="Q55" s="152"/>
      <c r="R55" s="244"/>
      <c r="S55" s="244"/>
      <c r="T55" s="244"/>
      <c r="U55" s="244"/>
      <c r="V55" s="244"/>
      <c r="W55" s="244"/>
      <c r="X55" s="244"/>
      <c r="Y55" s="77"/>
    </row>
    <row r="56" spans="2:25" x14ac:dyDescent="0.25">
      <c r="B56" s="84"/>
      <c r="C56" s="23" t="s">
        <v>298</v>
      </c>
      <c r="D56" t="s">
        <v>2</v>
      </c>
      <c r="E56" t="s">
        <v>27</v>
      </c>
      <c r="F56" t="str">
        <f t="shared" si="14"/>
        <v>SCADA/Network controlAugmentation</v>
      </c>
      <c r="G56" s="184">
        <v>22.5</v>
      </c>
      <c r="H56" s="171">
        <v>2</v>
      </c>
      <c r="I56" s="123" t="s">
        <v>294</v>
      </c>
      <c r="J56" s="165"/>
      <c r="K56" s="149">
        <f>G56*H56</f>
        <v>45</v>
      </c>
      <c r="L56" s="149">
        <f t="shared" si="15"/>
        <v>0</v>
      </c>
      <c r="M56" s="151"/>
      <c r="N56" s="448"/>
      <c r="O56" s="451"/>
      <c r="P56" s="449"/>
      <c r="Q56" s="152"/>
      <c r="R56" s="243">
        <v>0</v>
      </c>
      <c r="S56" s="243">
        <v>0</v>
      </c>
      <c r="T56" s="243">
        <v>0</v>
      </c>
      <c r="U56" s="243">
        <v>0</v>
      </c>
      <c r="V56" s="243">
        <v>0</v>
      </c>
      <c r="W56" s="243">
        <v>0</v>
      </c>
      <c r="X56" s="243">
        <v>0</v>
      </c>
      <c r="Y56" s="77">
        <f t="shared" ref="Y56:Y62" si="20">SUM(R56:X56)</f>
        <v>0</v>
      </c>
    </row>
    <row r="57" spans="2:25" x14ac:dyDescent="0.25">
      <c r="B57" s="120" t="s">
        <v>299</v>
      </c>
      <c r="C57" s="23"/>
      <c r="D57" t="s">
        <v>3</v>
      </c>
      <c r="E57" t="s">
        <v>27</v>
      </c>
      <c r="F57" t="str">
        <f t="shared" si="14"/>
        <v>SubtransmissionAugmentation</v>
      </c>
      <c r="G57" s="185">
        <v>7.519166666666667</v>
      </c>
      <c r="H57" s="171">
        <v>6</v>
      </c>
      <c r="I57" s="123" t="s">
        <v>294</v>
      </c>
      <c r="J57" s="165"/>
      <c r="K57" s="149">
        <f>G57*H57</f>
        <v>45.115000000000002</v>
      </c>
      <c r="L57" s="149">
        <f t="shared" si="15"/>
        <v>0</v>
      </c>
      <c r="M57" s="151"/>
      <c r="N57" s="448"/>
      <c r="O57" s="451"/>
      <c r="P57" s="449"/>
      <c r="Q57" s="152"/>
      <c r="R57" s="243">
        <v>0</v>
      </c>
      <c r="S57" s="243">
        <v>0</v>
      </c>
      <c r="T57" s="243">
        <v>0</v>
      </c>
      <c r="U57" s="243">
        <v>0</v>
      </c>
      <c r="V57" s="243">
        <v>0</v>
      </c>
      <c r="W57" s="243">
        <v>0</v>
      </c>
      <c r="X57" s="243">
        <v>0</v>
      </c>
      <c r="Y57" s="77">
        <f t="shared" si="20"/>
        <v>0</v>
      </c>
    </row>
    <row r="58" spans="2:25" x14ac:dyDescent="0.25">
      <c r="B58" s="120" t="s">
        <v>346</v>
      </c>
      <c r="C58" s="23"/>
      <c r="D58" t="s">
        <v>3</v>
      </c>
      <c r="E58" t="s">
        <v>27</v>
      </c>
      <c r="F58" t="str">
        <f t="shared" ref="F58" si="21">D58&amp;E58</f>
        <v>SubtransmissionAugmentation</v>
      </c>
      <c r="G58" s="185">
        <v>0</v>
      </c>
      <c r="H58" s="171"/>
      <c r="I58" s="123" t="s">
        <v>294</v>
      </c>
      <c r="J58" s="165"/>
      <c r="K58" s="149">
        <f>G58*H58</f>
        <v>0</v>
      </c>
      <c r="L58" s="149">
        <f t="shared" ref="L58" si="22">SUMPRODUCT(R$5:X$5,R58:X58)/Thousands</f>
        <v>0</v>
      </c>
      <c r="M58" s="151"/>
      <c r="N58" s="448"/>
      <c r="O58" s="451"/>
      <c r="P58" s="449"/>
      <c r="Q58" s="152"/>
      <c r="R58" s="243">
        <v>0</v>
      </c>
      <c r="S58" s="243">
        <v>0</v>
      </c>
      <c r="T58" s="243">
        <v>0</v>
      </c>
      <c r="U58" s="243">
        <v>0</v>
      </c>
      <c r="V58" s="243">
        <v>0</v>
      </c>
      <c r="W58" s="243">
        <v>0</v>
      </c>
      <c r="X58" s="243">
        <v>0</v>
      </c>
      <c r="Y58" s="77">
        <f t="shared" ref="Y58" si="23">SUM(R58:X58)</f>
        <v>0</v>
      </c>
    </row>
    <row r="59" spans="2:25" x14ac:dyDescent="0.25">
      <c r="B59" s="120" t="s">
        <v>300</v>
      </c>
      <c r="C59" s="23"/>
      <c r="G59" s="169"/>
      <c r="H59" s="186"/>
      <c r="I59" s="167"/>
      <c r="K59" s="149"/>
      <c r="L59" s="149"/>
      <c r="M59" s="168"/>
      <c r="N59" s="182"/>
      <c r="O59" s="181"/>
      <c r="P59" s="293"/>
      <c r="Q59" s="152"/>
      <c r="R59" s="243">
        <v>0</v>
      </c>
      <c r="S59" s="243">
        <v>0</v>
      </c>
      <c r="T59" s="243">
        <v>0</v>
      </c>
      <c r="U59" s="243">
        <v>0</v>
      </c>
      <c r="V59" s="243">
        <v>0</v>
      </c>
      <c r="W59" s="243">
        <v>0</v>
      </c>
      <c r="X59" s="243">
        <v>0</v>
      </c>
      <c r="Y59" s="77">
        <f t="shared" si="20"/>
        <v>0</v>
      </c>
    </row>
    <row r="60" spans="2:25" x14ac:dyDescent="0.25">
      <c r="B60" s="84"/>
      <c r="C60" s="23" t="s">
        <v>345</v>
      </c>
      <c r="D60" t="s">
        <v>3</v>
      </c>
      <c r="E60" t="s">
        <v>27</v>
      </c>
      <c r="F60" t="str">
        <f t="shared" ref="F60:F65" si="24">D60&amp;E60</f>
        <v>SubtransmissionAugmentation</v>
      </c>
      <c r="G60" s="185">
        <v>1.0537714212857141</v>
      </c>
      <c r="H60" s="171">
        <v>7</v>
      </c>
      <c r="I60" s="123" t="s">
        <v>294</v>
      </c>
      <c r="K60" s="149">
        <f>G60*H60</f>
        <v>7.3763999489999987</v>
      </c>
      <c r="L60" s="149">
        <f t="shared" ref="L60:L65" si="25">SUMPRODUCT(R$5:X$5,R60:X60)/Thousands</f>
        <v>0</v>
      </c>
      <c r="M60" s="151"/>
      <c r="N60" s="448"/>
      <c r="O60" s="451"/>
      <c r="P60" s="449"/>
      <c r="Q60" s="152"/>
      <c r="R60" s="243">
        <v>0</v>
      </c>
      <c r="S60" s="243">
        <v>0</v>
      </c>
      <c r="T60" s="243">
        <v>0</v>
      </c>
      <c r="U60" s="243">
        <v>0</v>
      </c>
      <c r="V60" s="243">
        <v>0</v>
      </c>
      <c r="W60" s="243">
        <v>0</v>
      </c>
      <c r="X60" s="243">
        <v>0</v>
      </c>
      <c r="Y60" s="77">
        <f t="shared" si="20"/>
        <v>0</v>
      </c>
    </row>
    <row r="61" spans="2:25" x14ac:dyDescent="0.25">
      <c r="B61" s="84"/>
      <c r="C61" s="23" t="s">
        <v>344</v>
      </c>
      <c r="D61" t="s">
        <v>3</v>
      </c>
      <c r="E61" t="s">
        <v>27</v>
      </c>
      <c r="F61" t="str">
        <f t="shared" ref="F61" si="26">D61&amp;E61</f>
        <v>SubtransmissionAugmentation</v>
      </c>
      <c r="G61" s="185">
        <v>0</v>
      </c>
      <c r="H61" s="171"/>
      <c r="I61" s="123" t="s">
        <v>294</v>
      </c>
      <c r="K61" s="149">
        <f>G61*H61</f>
        <v>0</v>
      </c>
      <c r="L61" s="149">
        <f t="shared" si="25"/>
        <v>0</v>
      </c>
      <c r="M61" s="151"/>
      <c r="N61" s="448"/>
      <c r="O61" s="451"/>
      <c r="P61" s="449"/>
      <c r="Q61" s="152"/>
      <c r="R61" s="243">
        <v>0</v>
      </c>
      <c r="S61" s="243">
        <v>0</v>
      </c>
      <c r="T61" s="243">
        <v>0</v>
      </c>
      <c r="U61" s="243">
        <v>0</v>
      </c>
      <c r="V61" s="243">
        <v>0</v>
      </c>
      <c r="W61" s="243">
        <v>0</v>
      </c>
      <c r="X61" s="243">
        <v>0</v>
      </c>
      <c r="Y61" s="77">
        <f t="shared" ref="Y61" si="27">SUM(R61:X61)</f>
        <v>0</v>
      </c>
    </row>
    <row r="62" spans="2:25" x14ac:dyDescent="0.25">
      <c r="B62" s="84"/>
      <c r="C62" s="23" t="s">
        <v>302</v>
      </c>
      <c r="D62" t="str">
        <f>Unit_Rates!G50</f>
        <v>Subtransmission</v>
      </c>
      <c r="E62" t="str">
        <f>Unit_Rates!H50</f>
        <v>Augmentation</v>
      </c>
      <c r="F62" t="str">
        <f t="shared" si="24"/>
        <v>SubtransmissionAugmentation</v>
      </c>
      <c r="G62" s="170">
        <f>Unit_Rates!$I$50</f>
        <v>131.39534883720927</v>
      </c>
      <c r="H62" s="171"/>
      <c r="I62" s="123" t="s">
        <v>294</v>
      </c>
      <c r="K62" s="149">
        <f>G62*H62</f>
        <v>0</v>
      </c>
      <c r="L62" s="149">
        <f t="shared" si="25"/>
        <v>0</v>
      </c>
      <c r="M62" s="151"/>
      <c r="N62" s="448"/>
      <c r="O62" s="448"/>
      <c r="P62" s="449"/>
      <c r="Q62" s="152">
        <f>P62-H62*VLOOKUP("Oil separator",Unit_Rates!$C$7:$E$51,3,FALSE)</f>
        <v>0</v>
      </c>
      <c r="R62" s="243">
        <v>0</v>
      </c>
      <c r="S62" s="243">
        <v>0</v>
      </c>
      <c r="T62" s="243">
        <v>0</v>
      </c>
      <c r="U62" s="243">
        <v>0</v>
      </c>
      <c r="V62" s="243">
        <v>0</v>
      </c>
      <c r="W62" s="243">
        <v>0</v>
      </c>
      <c r="X62" s="243">
        <v>0</v>
      </c>
      <c r="Y62" s="77">
        <f t="shared" si="20"/>
        <v>0</v>
      </c>
    </row>
    <row r="63" spans="2:25" x14ac:dyDescent="0.25">
      <c r="B63" s="84"/>
      <c r="C63" s="326" t="s">
        <v>303</v>
      </c>
      <c r="D63" t="s">
        <v>3</v>
      </c>
      <c r="E63" t="s">
        <v>27</v>
      </c>
      <c r="F63" t="str">
        <f t="shared" si="24"/>
        <v>SubtransmissionAugmentation</v>
      </c>
      <c r="G63" s="185">
        <v>0</v>
      </c>
      <c r="H63" s="171"/>
      <c r="I63" s="123" t="s">
        <v>294</v>
      </c>
      <c r="K63" s="149">
        <f>G63*H63</f>
        <v>0</v>
      </c>
      <c r="L63" s="149">
        <f t="shared" si="25"/>
        <v>0</v>
      </c>
      <c r="M63" s="151"/>
      <c r="N63" s="448"/>
      <c r="O63" s="451"/>
      <c r="P63" s="449"/>
      <c r="R63" s="245"/>
      <c r="S63" s="245"/>
      <c r="T63" s="245"/>
      <c r="U63" s="245"/>
      <c r="V63" s="245"/>
      <c r="W63" s="245"/>
      <c r="X63" s="245"/>
    </row>
    <row r="64" spans="2:25" x14ac:dyDescent="0.25">
      <c r="B64" s="120" t="s">
        <v>304</v>
      </c>
      <c r="C64" s="326"/>
      <c r="D64" t="s">
        <v>3</v>
      </c>
      <c r="E64" t="s">
        <v>27</v>
      </c>
      <c r="F64" t="str">
        <f t="shared" si="24"/>
        <v>SubtransmissionAugmentation</v>
      </c>
      <c r="G64" s="170">
        <v>0</v>
      </c>
      <c r="H64" s="171"/>
      <c r="I64" s="123" t="s">
        <v>294</v>
      </c>
      <c r="K64" s="149">
        <f>G64*H64</f>
        <v>0</v>
      </c>
      <c r="L64" s="166">
        <f t="shared" si="25"/>
        <v>0</v>
      </c>
      <c r="M64" s="188"/>
      <c r="N64" s="448"/>
      <c r="O64" s="446"/>
      <c r="P64" s="449"/>
    </row>
    <row r="65" spans="2:35" x14ac:dyDescent="0.25">
      <c r="B65" s="120" t="s">
        <v>305</v>
      </c>
      <c r="C65" s="23"/>
      <c r="D65" t="s">
        <v>4</v>
      </c>
      <c r="E65" t="s">
        <v>29</v>
      </c>
      <c r="F65" t="str">
        <f t="shared" si="24"/>
        <v>LandNon-Network</v>
      </c>
      <c r="G65" s="170">
        <v>0</v>
      </c>
      <c r="H65" s="190"/>
      <c r="I65" s="123" t="s">
        <v>294</v>
      </c>
      <c r="K65" s="166">
        <v>0</v>
      </c>
      <c r="L65" s="166">
        <f t="shared" si="25"/>
        <v>0</v>
      </c>
      <c r="M65" s="188"/>
      <c r="N65" s="448"/>
      <c r="O65" s="446"/>
      <c r="P65" s="449"/>
    </row>
    <row r="66" spans="2:35" x14ac:dyDescent="0.25">
      <c r="B66" s="84"/>
      <c r="C66" s="23"/>
      <c r="G66" s="169"/>
      <c r="H66" s="84"/>
      <c r="I66" s="167"/>
      <c r="K66" s="191"/>
      <c r="L66" s="191"/>
      <c r="M66" s="192"/>
      <c r="N66" s="192"/>
      <c r="O66" s="192"/>
      <c r="P66" s="192"/>
    </row>
    <row r="67" spans="2:35" x14ac:dyDescent="0.25">
      <c r="B67" s="120" t="s">
        <v>306</v>
      </c>
      <c r="C67" s="23"/>
      <c r="G67" s="169"/>
      <c r="H67" s="84"/>
      <c r="I67" s="167"/>
      <c r="K67" s="193">
        <v>3246.9659997866415</v>
      </c>
      <c r="L67" s="193">
        <v>926.17171287626707</v>
      </c>
      <c r="M67" s="194">
        <v>1000</v>
      </c>
      <c r="N67" s="194">
        <v>3449.2163588589601</v>
      </c>
      <c r="O67" s="194">
        <v>132.41246471501086</v>
      </c>
      <c r="P67" s="194">
        <v>8754.7665362368789</v>
      </c>
      <c r="Q67" s="406"/>
    </row>
    <row r="68" spans="2:35" x14ac:dyDescent="0.25">
      <c r="B68" s="195" t="s">
        <v>307</v>
      </c>
      <c r="C68" s="327"/>
      <c r="D68" s="102"/>
      <c r="E68" s="102"/>
      <c r="F68" s="102"/>
      <c r="G68" s="196"/>
      <c r="H68" s="195"/>
      <c r="I68" s="196"/>
      <c r="J68" s="102"/>
      <c r="K68" s="246"/>
      <c r="L68" s="247"/>
      <c r="M68" s="247"/>
      <c r="N68" s="247"/>
      <c r="O68" s="247"/>
      <c r="P68" s="248"/>
    </row>
    <row r="69" spans="2:35" ht="39.6" customHeight="1" x14ac:dyDescent="0.25">
      <c r="B69" s="143" t="s">
        <v>308</v>
      </c>
      <c r="C69" s="324"/>
      <c r="D69" s="117"/>
      <c r="E69" s="117"/>
      <c r="F69" s="117"/>
      <c r="G69" s="200" t="s">
        <v>309</v>
      </c>
      <c r="H69" s="201" t="s">
        <v>279</v>
      </c>
      <c r="I69" s="67" t="s">
        <v>280</v>
      </c>
      <c r="J69" s="102"/>
      <c r="K69" s="67" t="s">
        <v>21</v>
      </c>
      <c r="L69" s="67" t="s">
        <v>22</v>
      </c>
      <c r="M69" s="200" t="s">
        <v>23</v>
      </c>
      <c r="N69" s="200" t="s">
        <v>24</v>
      </c>
      <c r="O69" s="67" t="s">
        <v>25</v>
      </c>
      <c r="P69" s="67" t="s">
        <v>26</v>
      </c>
    </row>
    <row r="70" spans="2:35" x14ac:dyDescent="0.25">
      <c r="B70" s="84"/>
      <c r="C70" s="23"/>
      <c r="G70" s="167"/>
      <c r="H70" s="84"/>
      <c r="I70" s="167"/>
      <c r="K70" s="203"/>
      <c r="L70" s="203"/>
      <c r="M70" s="203"/>
      <c r="N70" s="203"/>
      <c r="O70" s="203"/>
      <c r="P70" s="167"/>
    </row>
    <row r="71" spans="2:35" x14ac:dyDescent="0.25">
      <c r="B71" s="312" t="s">
        <v>448</v>
      </c>
      <c r="C71" s="23"/>
      <c r="G71" s="167"/>
      <c r="H71" s="84"/>
      <c r="I71" s="167"/>
      <c r="K71" s="203"/>
      <c r="L71" s="203"/>
      <c r="M71" s="203"/>
      <c r="N71" s="203"/>
      <c r="O71" s="203"/>
      <c r="P71" s="167"/>
      <c r="R71" s="249"/>
      <c r="S71" s="249"/>
      <c r="T71" s="249"/>
      <c r="U71" s="249"/>
      <c r="V71" s="249"/>
      <c r="W71" s="249"/>
      <c r="X71" s="249"/>
    </row>
    <row r="72" spans="2:35" x14ac:dyDescent="0.25">
      <c r="B72" s="335" t="s">
        <v>453</v>
      </c>
      <c r="C72" s="23"/>
      <c r="G72" s="167"/>
      <c r="H72" s="84"/>
      <c r="I72" s="167"/>
      <c r="K72" s="203"/>
      <c r="L72" s="203"/>
      <c r="M72" s="203"/>
      <c r="N72" s="203"/>
      <c r="O72" s="203"/>
      <c r="P72" s="167"/>
      <c r="R72" s="249"/>
      <c r="S72" s="249"/>
      <c r="T72" s="249"/>
      <c r="U72" s="249"/>
      <c r="V72" s="249"/>
      <c r="W72" s="249"/>
      <c r="X72" s="249"/>
    </row>
    <row r="73" spans="2:35" x14ac:dyDescent="0.25">
      <c r="B73" s="84"/>
      <c r="C73" s="328" t="s">
        <v>477</v>
      </c>
      <c r="D73" s="23" t="str">
        <f>INDEX(Unit_Rates!$C$7:$K$113,MATCH($C73,Unit_Rates!$C$7:$C$113,0),5)</f>
        <v>Distribution system assets</v>
      </c>
      <c r="E73" s="23" t="str">
        <f>INDEX(Unit_Rates!$C$7:$K$113,MATCH($C73,Unit_Rates!$C$7:$C$113,0),6)</f>
        <v>Replacement</v>
      </c>
      <c r="F73" s="23" t="str">
        <f t="shared" ref="F73:F75" si="28">D73&amp;E73</f>
        <v>Distribution system assetsReplacement</v>
      </c>
      <c r="G73" s="170">
        <f>INDEX(Unit_Rates!$C$7:$K$113,MATCH($C73,Unit_Rates!$C$7:$C$113,0),7)</f>
        <v>6.06</v>
      </c>
      <c r="H73" s="350">
        <v>5</v>
      </c>
      <c r="I73" s="308" t="s">
        <v>294</v>
      </c>
      <c r="J73" s="108"/>
      <c r="K73" s="170">
        <f t="shared" ref="K73:K75" si="29">G73*H73</f>
        <v>30.299999999999997</v>
      </c>
      <c r="L73" s="170">
        <f t="shared" ref="L73:L75" si="30">SUMPRODUCT(R$5:X$5,R73:X73)/Thousands</f>
        <v>0</v>
      </c>
      <c r="M73" s="170"/>
      <c r="N73" s="446"/>
      <c r="O73" s="446"/>
      <c r="P73" s="446"/>
      <c r="Q73" s="314">
        <f>P73-H73*VLOOKUP(C73,Unit_Rates!$C$7:$E$113,3,FALSE)</f>
        <v>0</v>
      </c>
      <c r="R73" s="134">
        <v>0</v>
      </c>
      <c r="S73" s="134">
        <v>0</v>
      </c>
      <c r="T73" s="134">
        <v>0</v>
      </c>
      <c r="U73" s="134">
        <v>0</v>
      </c>
      <c r="V73" s="134">
        <v>0</v>
      </c>
      <c r="W73" s="134">
        <v>0</v>
      </c>
      <c r="X73" s="134">
        <v>0</v>
      </c>
      <c r="Y73" s="304">
        <f t="shared" ref="Y73:Y75" si="31">SUM(R73:X73)</f>
        <v>0</v>
      </c>
      <c r="Z73" s="6"/>
      <c r="AA73" s="6"/>
      <c r="AB73" s="6"/>
      <c r="AC73" s="6"/>
      <c r="AD73" s="6"/>
      <c r="AE73" s="6"/>
      <c r="AF73" s="6"/>
      <c r="AG73" s="8"/>
      <c r="AI73" s="97"/>
    </row>
    <row r="74" spans="2:35" x14ac:dyDescent="0.25">
      <c r="B74" s="84"/>
      <c r="C74" s="328" t="s">
        <v>433</v>
      </c>
      <c r="D74" s="23" t="str">
        <f>INDEX(Unit_Rates!$C$7:$K$113,MATCH($C74,Unit_Rates!$C$7:$C$113,0),5)</f>
        <v>Subtransmission</v>
      </c>
      <c r="E74" s="23" t="str">
        <f>INDEX(Unit_Rates!$C$7:$K$113,MATCH($C74,Unit_Rates!$C$7:$C$113,0),6)</f>
        <v>Augmentation</v>
      </c>
      <c r="F74" s="23" t="str">
        <f t="shared" si="28"/>
        <v>SubtransmissionAugmentation</v>
      </c>
      <c r="G74" s="170">
        <f>INDEX(Unit_Rates!$C$7:$K$113,MATCH($C74,Unit_Rates!$C$7:$C$113,0),7)</f>
        <v>18.997386759581939</v>
      </c>
      <c r="H74" s="350">
        <v>5</v>
      </c>
      <c r="I74" s="308" t="s">
        <v>294</v>
      </c>
      <c r="J74" s="108"/>
      <c r="K74" s="170">
        <f t="shared" si="29"/>
        <v>94.9869337979097</v>
      </c>
      <c r="L74" s="170">
        <f t="shared" si="30"/>
        <v>0</v>
      </c>
      <c r="M74" s="170"/>
      <c r="N74" s="446"/>
      <c r="O74" s="446"/>
      <c r="P74" s="446"/>
      <c r="Q74" s="314">
        <f>P74-H74*VLOOKUP(C74,Unit_Rates!$C$7:$E$113,3,FALSE)</f>
        <v>0</v>
      </c>
      <c r="R74" s="134">
        <v>0</v>
      </c>
      <c r="S74" s="134">
        <v>0</v>
      </c>
      <c r="T74" s="134">
        <v>0</v>
      </c>
      <c r="U74" s="134">
        <v>0</v>
      </c>
      <c r="V74" s="134">
        <v>0</v>
      </c>
      <c r="W74" s="134">
        <v>0</v>
      </c>
      <c r="X74" s="134">
        <v>0</v>
      </c>
      <c r="Y74" s="304">
        <f t="shared" si="31"/>
        <v>0</v>
      </c>
      <c r="Z74" s="6"/>
      <c r="AA74" s="6"/>
      <c r="AB74" s="6"/>
      <c r="AC74" s="6"/>
      <c r="AD74" s="6"/>
      <c r="AE74" s="6"/>
      <c r="AF74" s="6"/>
      <c r="AG74" s="8"/>
      <c r="AI74" s="97"/>
    </row>
    <row r="75" spans="2:35" x14ac:dyDescent="0.25">
      <c r="B75" s="84"/>
      <c r="C75" s="23" t="s">
        <v>229</v>
      </c>
      <c r="D75" s="23" t="str">
        <f>Unit_Rates!G$129</f>
        <v>Distribution system assets</v>
      </c>
      <c r="E75" s="23" t="str">
        <f>Unit_Rates!H$129</f>
        <v>Augmentation</v>
      </c>
      <c r="F75" s="23" t="str">
        <f t="shared" si="28"/>
        <v>Distribution system assetsAugmentation</v>
      </c>
      <c r="G75" s="170">
        <f>Unit_Rates!I$129</f>
        <v>22.603922249219018</v>
      </c>
      <c r="H75" s="350">
        <v>5</v>
      </c>
      <c r="I75" s="308" t="s">
        <v>294</v>
      </c>
      <c r="J75" s="108"/>
      <c r="K75" s="211">
        <f t="shared" si="29"/>
        <v>113.01961124609508</v>
      </c>
      <c r="L75" s="211">
        <f t="shared" si="30"/>
        <v>101.75413298104034</v>
      </c>
      <c r="M75" s="211">
        <f>$H75*Unit_Rates!K$129</f>
        <v>23.929002318193607</v>
      </c>
      <c r="N75" s="447"/>
      <c r="O75" s="447"/>
      <c r="P75" s="447"/>
      <c r="Q75" s="314">
        <f>P75-H75*VLOOKUP(C75,Unit_Rates!$C$7:$E$132,3,FALSE)</f>
        <v>-401.84410697529876</v>
      </c>
      <c r="R75" s="134">
        <f>$H75*Z75*Unit_Rates!$J$129*1000/R$5</f>
        <v>189.84049909158091</v>
      </c>
      <c r="S75" s="134">
        <f>$H75*AA75*Unit_Rates!$J$129*1000/S$5</f>
        <v>217.52007989545163</v>
      </c>
      <c r="T75" s="134">
        <f>$H75*AB75*Unit_Rates!$J$129*1000/T$5</f>
        <v>214.80623892314111</v>
      </c>
      <c r="U75" s="134">
        <v>0</v>
      </c>
      <c r="V75" s="134">
        <v>0</v>
      </c>
      <c r="W75" s="134">
        <v>0</v>
      </c>
      <c r="X75" s="134">
        <v>0</v>
      </c>
      <c r="Y75" s="304">
        <f t="shared" si="31"/>
        <v>622.16681791017368</v>
      </c>
      <c r="Z75" s="6">
        <v>0.30314923274650007</v>
      </c>
      <c r="AA75" s="6">
        <v>0.32449777026385923</v>
      </c>
      <c r="AB75" s="407">
        <v>0.37235299698964058</v>
      </c>
      <c r="AC75" s="6"/>
      <c r="AD75" s="6"/>
      <c r="AE75" s="6"/>
      <c r="AF75" s="6"/>
      <c r="AG75" s="8"/>
      <c r="AI75" s="97"/>
    </row>
    <row r="76" spans="2:35" x14ac:dyDescent="0.25">
      <c r="B76" s="84"/>
      <c r="C76" s="23" t="s">
        <v>454</v>
      </c>
      <c r="G76" s="212"/>
      <c r="H76" s="122"/>
      <c r="I76" s="167"/>
      <c r="K76" s="212">
        <v>238.30654504400479</v>
      </c>
      <c r="L76" s="212">
        <v>101.75413298104034</v>
      </c>
      <c r="M76" s="212">
        <v>23.929002318193607</v>
      </c>
      <c r="N76" s="212">
        <v>247.34196464269377</v>
      </c>
      <c r="O76" s="212">
        <v>43.032002897754978</v>
      </c>
      <c r="P76" s="212">
        <v>654.36364788368746</v>
      </c>
      <c r="Q76" s="22"/>
      <c r="R76" s="238"/>
      <c r="S76" s="238"/>
      <c r="T76" s="238"/>
      <c r="U76" s="238"/>
      <c r="V76" s="238"/>
      <c r="W76" s="238"/>
      <c r="X76" s="238"/>
      <c r="Y76" s="77"/>
      <c r="AI76" s="97"/>
    </row>
    <row r="77" spans="2:35" x14ac:dyDescent="0.25">
      <c r="B77" s="84"/>
      <c r="G77" s="167"/>
      <c r="H77" s="84"/>
      <c r="I77" s="167"/>
      <c r="K77" s="203"/>
      <c r="L77" s="203"/>
      <c r="M77" s="203"/>
      <c r="N77" s="203"/>
      <c r="O77" s="203"/>
      <c r="P77" s="167"/>
    </row>
    <row r="78" spans="2:35" x14ac:dyDescent="0.25">
      <c r="B78" s="120" t="s">
        <v>330</v>
      </c>
      <c r="G78" s="167"/>
      <c r="H78" s="84"/>
      <c r="I78" s="167"/>
      <c r="K78" s="193">
        <f>K76</f>
        <v>238.30654504400479</v>
      </c>
      <c r="L78" s="193">
        <f t="shared" ref="L78:P78" si="32">L76</f>
        <v>101.75413298104034</v>
      </c>
      <c r="M78" s="193">
        <f t="shared" si="32"/>
        <v>23.929002318193607</v>
      </c>
      <c r="N78" s="193">
        <f t="shared" si="32"/>
        <v>247.34196464269377</v>
      </c>
      <c r="O78" s="193">
        <f t="shared" si="32"/>
        <v>43.032002897754978</v>
      </c>
      <c r="P78" s="193">
        <f t="shared" si="32"/>
        <v>654.36364788368746</v>
      </c>
    </row>
    <row r="79" spans="2:35" x14ac:dyDescent="0.25">
      <c r="B79" s="195" t="s">
        <v>307</v>
      </c>
      <c r="C79" s="102"/>
      <c r="D79" s="102"/>
      <c r="E79" s="102"/>
      <c r="F79" s="102"/>
      <c r="G79" s="102"/>
      <c r="H79" s="102"/>
      <c r="I79" s="102"/>
      <c r="J79" s="102"/>
      <c r="K79" s="252"/>
      <c r="L79" s="252"/>
      <c r="M79" s="252"/>
      <c r="N79" s="252"/>
      <c r="O79" s="252"/>
      <c r="P79" s="253"/>
      <c r="Q79" s="22"/>
    </row>
    <row r="80" spans="2:35" x14ac:dyDescent="0.25">
      <c r="B80" s="84"/>
      <c r="K80" s="165"/>
      <c r="L80" s="165"/>
      <c r="M80" s="165"/>
      <c r="N80" s="165"/>
      <c r="O80" s="165"/>
      <c r="P80" s="254"/>
    </row>
    <row r="81" spans="2:16" x14ac:dyDescent="0.25">
      <c r="B81" s="120" t="s">
        <v>33</v>
      </c>
      <c r="C81" s="3"/>
      <c r="D81" s="3"/>
      <c r="E81" s="3"/>
      <c r="F81" s="3"/>
      <c r="G81" s="3"/>
      <c r="H81" s="3"/>
      <c r="I81" s="3"/>
      <c r="J81" s="3"/>
      <c r="K81" s="221">
        <f t="shared" ref="K81:P81" si="33">K67+K78</f>
        <v>3485.2725448306464</v>
      </c>
      <c r="L81" s="221">
        <f t="shared" si="33"/>
        <v>1027.9258458573074</v>
      </c>
      <c r="M81" s="221">
        <f t="shared" si="33"/>
        <v>1023.9290023181936</v>
      </c>
      <c r="N81" s="221">
        <f t="shared" si="33"/>
        <v>3696.5583235016538</v>
      </c>
      <c r="O81" s="221">
        <f t="shared" si="33"/>
        <v>175.44446761276583</v>
      </c>
      <c r="P81" s="255">
        <f t="shared" si="33"/>
        <v>9409.1301841205659</v>
      </c>
    </row>
    <row r="82" spans="2:16" x14ac:dyDescent="0.25">
      <c r="B82" s="224" t="s">
        <v>307</v>
      </c>
      <c r="C82" s="225"/>
      <c r="D82" s="225"/>
      <c r="E82" s="225"/>
      <c r="F82" s="225"/>
      <c r="G82" s="225"/>
      <c r="H82" s="225"/>
      <c r="I82" s="225"/>
      <c r="J82" s="225"/>
      <c r="K82" s="226"/>
      <c r="L82" s="226"/>
      <c r="M82" s="226"/>
      <c r="N82" s="226"/>
      <c r="O82" s="226"/>
      <c r="P82" s="256"/>
    </row>
    <row r="85" spans="2:16" x14ac:dyDescent="0.25">
      <c r="C85" t="s">
        <v>293</v>
      </c>
      <c r="D85" t="s">
        <v>3</v>
      </c>
      <c r="E85" t="s">
        <v>27</v>
      </c>
      <c r="F85" t="str">
        <f t="shared" ref="F85:F106" si="34">D85&amp;E85</f>
        <v>SubtransmissionAugmentation</v>
      </c>
      <c r="K85" s="4">
        <v>1932.6037898418911</v>
      </c>
      <c r="L85" s="4">
        <v>0</v>
      </c>
      <c r="M85" s="4">
        <v>0</v>
      </c>
      <c r="N85" s="4">
        <v>3306.3022048840458</v>
      </c>
      <c r="O85" s="4">
        <v>130.47890234359917</v>
      </c>
      <c r="P85" s="4">
        <v>5369.3848970695353</v>
      </c>
    </row>
    <row r="86" spans="2:16" x14ac:dyDescent="0.25">
      <c r="D86" t="s">
        <v>3</v>
      </c>
      <c r="E86" t="s">
        <v>28</v>
      </c>
      <c r="F86" t="str">
        <f t="shared" si="34"/>
        <v>SubtransmissionReplacement</v>
      </c>
      <c r="K86" s="4">
        <v>0</v>
      </c>
      <c r="L86" s="4">
        <v>0</v>
      </c>
      <c r="M86" s="4">
        <v>0</v>
      </c>
      <c r="N86" s="4">
        <v>0</v>
      </c>
      <c r="O86" s="4">
        <v>0</v>
      </c>
      <c r="P86" s="4">
        <v>0</v>
      </c>
    </row>
    <row r="87" spans="2:16" x14ac:dyDescent="0.25">
      <c r="D87" t="s">
        <v>2</v>
      </c>
      <c r="E87" t="s">
        <v>27</v>
      </c>
      <c r="F87" t="str">
        <f t="shared" si="34"/>
        <v>SCADA/Network controlAugmentation</v>
      </c>
      <c r="K87" s="4">
        <v>1314.3622099447509</v>
      </c>
      <c r="L87" s="4">
        <v>0</v>
      </c>
      <c r="M87" s="4">
        <v>0</v>
      </c>
      <c r="N87" s="4">
        <v>142.91415397491409</v>
      </c>
      <c r="O87" s="4">
        <v>1.9335623714116765</v>
      </c>
      <c r="P87" s="4">
        <v>1459.2099262910767</v>
      </c>
    </row>
    <row r="88" spans="2:16" x14ac:dyDescent="0.25">
      <c r="D88" t="s">
        <v>2</v>
      </c>
      <c r="E88" t="s">
        <v>28</v>
      </c>
      <c r="F88" t="str">
        <f t="shared" si="34"/>
        <v>SCADA/Network controlReplacement</v>
      </c>
      <c r="K88" s="4">
        <v>0</v>
      </c>
      <c r="L88" s="4">
        <v>0</v>
      </c>
      <c r="M88" s="4">
        <v>0</v>
      </c>
      <c r="N88" s="4">
        <v>0</v>
      </c>
      <c r="O88" s="4">
        <v>0</v>
      </c>
      <c r="P88" s="4">
        <v>0</v>
      </c>
    </row>
    <row r="89" spans="2:16" x14ac:dyDescent="0.25">
      <c r="D89" t="s">
        <v>4</v>
      </c>
      <c r="E89" t="s">
        <v>29</v>
      </c>
      <c r="F89" t="str">
        <f t="shared" si="34"/>
        <v>LandNon-Network</v>
      </c>
      <c r="K89" s="230">
        <v>0</v>
      </c>
      <c r="L89" s="230">
        <v>0</v>
      </c>
      <c r="M89" s="230">
        <v>0</v>
      </c>
      <c r="N89" s="230">
        <v>0</v>
      </c>
      <c r="O89" s="230">
        <v>0</v>
      </c>
      <c r="P89" s="230">
        <v>0</v>
      </c>
    </row>
    <row r="90" spans="2:16" x14ac:dyDescent="0.25">
      <c r="K90" s="4">
        <v>3246.965999786642</v>
      </c>
      <c r="L90" s="4">
        <v>0</v>
      </c>
      <c r="M90" s="4">
        <v>0</v>
      </c>
      <c r="N90" s="4">
        <v>3449.2163588589597</v>
      </c>
      <c r="O90" s="4">
        <v>132.41246471501086</v>
      </c>
      <c r="P90" s="4">
        <v>6828.5948233606123</v>
      </c>
    </row>
    <row r="91" spans="2:16" x14ac:dyDescent="0.25">
      <c r="C91" t="s">
        <v>331</v>
      </c>
      <c r="D91" t="s">
        <v>3</v>
      </c>
      <c r="E91" t="s">
        <v>27</v>
      </c>
      <c r="F91" t="str">
        <f t="shared" ref="F91:F95" si="35">D91&amp;E91</f>
        <v>SubtransmissionAugmentation</v>
      </c>
      <c r="K91" s="4"/>
      <c r="L91" s="4">
        <v>728.25706252160683</v>
      </c>
      <c r="M91" s="4">
        <v>786.30890189894967</v>
      </c>
      <c r="N91" s="4">
        <v>0</v>
      </c>
      <c r="O91" s="4"/>
      <c r="P91" s="4">
        <v>1514.5659644205566</v>
      </c>
    </row>
    <row r="92" spans="2:16" x14ac:dyDescent="0.25">
      <c r="D92" t="s">
        <v>3</v>
      </c>
      <c r="E92" t="s">
        <v>28</v>
      </c>
      <c r="F92" t="str">
        <f t="shared" si="35"/>
        <v>SubtransmissionReplacement</v>
      </c>
      <c r="K92" s="4"/>
      <c r="L92" s="4">
        <v>0</v>
      </c>
      <c r="M92" s="4">
        <v>0</v>
      </c>
      <c r="N92" s="4">
        <v>0</v>
      </c>
      <c r="O92" s="4"/>
      <c r="P92" s="4">
        <v>0</v>
      </c>
    </row>
    <row r="93" spans="2:16" x14ac:dyDescent="0.25">
      <c r="D93" t="s">
        <v>2</v>
      </c>
      <c r="E93" t="s">
        <v>27</v>
      </c>
      <c r="F93" t="str">
        <f t="shared" si="35"/>
        <v>SCADA/Network controlAugmentation</v>
      </c>
      <c r="K93" s="4"/>
      <c r="L93" s="4">
        <v>197.91465035466015</v>
      </c>
      <c r="M93" s="4">
        <v>213.69109810105027</v>
      </c>
      <c r="N93" s="4">
        <v>0</v>
      </c>
      <c r="O93" s="4"/>
      <c r="P93" s="4">
        <v>411.60574845571045</v>
      </c>
    </row>
    <row r="94" spans="2:16" x14ac:dyDescent="0.25">
      <c r="D94" t="s">
        <v>2</v>
      </c>
      <c r="E94" t="s">
        <v>28</v>
      </c>
      <c r="F94" t="str">
        <f t="shared" si="35"/>
        <v>SCADA/Network controlReplacement</v>
      </c>
      <c r="K94" s="4"/>
      <c r="L94" s="4">
        <v>0</v>
      </c>
      <c r="M94" s="4">
        <v>0</v>
      </c>
      <c r="N94" s="4">
        <v>0</v>
      </c>
      <c r="O94" s="4"/>
      <c r="P94" s="4">
        <v>0</v>
      </c>
    </row>
    <row r="95" spans="2:16" x14ac:dyDescent="0.25">
      <c r="D95" t="s">
        <v>4</v>
      </c>
      <c r="E95" t="s">
        <v>29</v>
      </c>
      <c r="F95" t="str">
        <f t="shared" si="35"/>
        <v>LandNon-Network</v>
      </c>
      <c r="K95" s="230"/>
      <c r="L95" s="230">
        <v>0</v>
      </c>
      <c r="M95" s="230">
        <v>0</v>
      </c>
      <c r="N95" s="230">
        <v>0</v>
      </c>
      <c r="O95" s="230"/>
      <c r="P95" s="230">
        <v>0</v>
      </c>
    </row>
    <row r="96" spans="2:16" x14ac:dyDescent="0.25">
      <c r="K96" s="4">
        <v>0</v>
      </c>
      <c r="L96" s="4">
        <v>926.17171287626695</v>
      </c>
      <c r="M96" s="4">
        <v>1000</v>
      </c>
      <c r="N96" s="4">
        <v>0</v>
      </c>
      <c r="O96" s="4">
        <v>0</v>
      </c>
      <c r="P96" s="4">
        <v>1926.1717128762671</v>
      </c>
    </row>
    <row r="97" spans="3:16" x14ac:dyDescent="0.25">
      <c r="C97" t="s">
        <v>332</v>
      </c>
      <c r="D97" t="s">
        <v>3</v>
      </c>
      <c r="E97" t="s">
        <v>27</v>
      </c>
      <c r="F97" t="str">
        <f t="shared" ref="F97:F101" si="36">D97&amp;E97</f>
        <v>SubtransmissionAugmentation</v>
      </c>
      <c r="K97" s="4">
        <v>1932.6037898418911</v>
      </c>
      <c r="L97" s="4">
        <v>728.25706252160683</v>
      </c>
      <c r="M97" s="4">
        <v>786.30890189894967</v>
      </c>
      <c r="N97" s="4">
        <v>3306.3022048840458</v>
      </c>
      <c r="O97" s="4">
        <v>130.47890234359917</v>
      </c>
      <c r="P97" s="232">
        <v>6883.9508614900915</v>
      </c>
    </row>
    <row r="98" spans="3:16" x14ac:dyDescent="0.25">
      <c r="D98" t="s">
        <v>3</v>
      </c>
      <c r="E98" t="s">
        <v>28</v>
      </c>
      <c r="F98" t="str">
        <f t="shared" si="36"/>
        <v>SubtransmissionReplacement</v>
      </c>
      <c r="K98" s="4">
        <v>0</v>
      </c>
      <c r="L98" s="4">
        <v>0</v>
      </c>
      <c r="M98" s="4">
        <v>0</v>
      </c>
      <c r="N98" s="4">
        <v>0</v>
      </c>
      <c r="O98" s="4">
        <v>0</v>
      </c>
      <c r="P98" s="232">
        <v>0</v>
      </c>
    </row>
    <row r="99" spans="3:16" x14ac:dyDescent="0.25">
      <c r="D99" t="s">
        <v>2</v>
      </c>
      <c r="E99" t="s">
        <v>27</v>
      </c>
      <c r="F99" t="str">
        <f t="shared" si="36"/>
        <v>SCADA/Network controlAugmentation</v>
      </c>
      <c r="K99" s="4">
        <v>1314.3622099447509</v>
      </c>
      <c r="L99" s="4">
        <v>197.91465035466015</v>
      </c>
      <c r="M99" s="4">
        <v>213.69109810105027</v>
      </c>
      <c r="N99" s="4">
        <v>142.91415397491409</v>
      </c>
      <c r="O99" s="4">
        <v>1.9335623714116765</v>
      </c>
      <c r="P99" s="4">
        <v>1870.8156747467872</v>
      </c>
    </row>
    <row r="100" spans="3:16" x14ac:dyDescent="0.25">
      <c r="D100" t="s">
        <v>2</v>
      </c>
      <c r="E100" t="s">
        <v>28</v>
      </c>
      <c r="F100" t="str">
        <f t="shared" si="36"/>
        <v>SCADA/Network controlReplacement</v>
      </c>
      <c r="K100" s="4">
        <v>0</v>
      </c>
      <c r="L100" s="4">
        <v>0</v>
      </c>
      <c r="M100" s="4">
        <v>0</v>
      </c>
      <c r="N100" s="4">
        <v>0</v>
      </c>
      <c r="O100" s="4">
        <v>0</v>
      </c>
      <c r="P100" s="4">
        <v>0</v>
      </c>
    </row>
    <row r="101" spans="3:16" x14ac:dyDescent="0.25">
      <c r="D101" t="s">
        <v>4</v>
      </c>
      <c r="E101" t="s">
        <v>29</v>
      </c>
      <c r="F101" t="str">
        <f t="shared" si="36"/>
        <v>LandNon-Network</v>
      </c>
      <c r="K101" s="230">
        <v>0</v>
      </c>
      <c r="L101" s="230">
        <v>0</v>
      </c>
      <c r="M101" s="230">
        <v>0</v>
      </c>
      <c r="N101" s="230">
        <v>0</v>
      </c>
      <c r="O101" s="230">
        <v>0</v>
      </c>
      <c r="P101" s="230">
        <v>0</v>
      </c>
    </row>
    <row r="102" spans="3:16" x14ac:dyDescent="0.25">
      <c r="K102" s="4">
        <v>3246.965999786642</v>
      </c>
      <c r="L102" s="4">
        <v>926.17171287626695</v>
      </c>
      <c r="M102" s="4">
        <v>1000</v>
      </c>
      <c r="N102" s="4">
        <v>3449.2163588589597</v>
      </c>
      <c r="O102" s="4">
        <v>132.41246471501086</v>
      </c>
      <c r="P102" s="4">
        <v>8754.7665362368789</v>
      </c>
    </row>
    <row r="103" spans="3:16" x14ac:dyDescent="0.25">
      <c r="K103" s="97">
        <v>0</v>
      </c>
      <c r="L103" s="97">
        <v>0</v>
      </c>
      <c r="M103" s="97">
        <v>0</v>
      </c>
      <c r="N103" s="97">
        <v>0</v>
      </c>
      <c r="O103" s="97">
        <v>0</v>
      </c>
      <c r="P103" s="97">
        <v>0</v>
      </c>
    </row>
    <row r="104" spans="3:16" x14ac:dyDescent="0.25">
      <c r="C104" t="s">
        <v>453</v>
      </c>
      <c r="D104" t="s">
        <v>3</v>
      </c>
      <c r="E104" t="s">
        <v>27</v>
      </c>
      <c r="F104" t="str">
        <f t="shared" ref="F104" si="37">D104&amp;E104</f>
        <v>SubtransmissionAugmentation</v>
      </c>
      <c r="K104" s="4">
        <v>94.9869337979097</v>
      </c>
      <c r="L104" s="4">
        <v>0</v>
      </c>
      <c r="M104" s="4">
        <v>0</v>
      </c>
      <c r="N104" s="4">
        <v>68.636672473867804</v>
      </c>
      <c r="O104" s="4">
        <v>8.4159407665505483</v>
      </c>
      <c r="P104" s="4">
        <v>172.03954703832807</v>
      </c>
    </row>
    <row r="105" spans="3:16" x14ac:dyDescent="0.25">
      <c r="D105" t="s">
        <v>92</v>
      </c>
      <c r="E105" t="s">
        <v>27</v>
      </c>
      <c r="F105" t="str">
        <f t="shared" si="34"/>
        <v>Distribution system assetsAugmentation</v>
      </c>
      <c r="K105" s="4">
        <v>113.01961124609508</v>
      </c>
      <c r="L105" s="4">
        <v>101.75413298104034</v>
      </c>
      <c r="M105" s="4">
        <v>23.929002318193607</v>
      </c>
      <c r="N105" s="4">
        <v>129.90029829876528</v>
      </c>
      <c r="O105" s="4">
        <v>33.24106213120443</v>
      </c>
      <c r="P105" s="4">
        <v>401.8441069752987</v>
      </c>
    </row>
    <row r="106" spans="3:16" x14ac:dyDescent="0.25">
      <c r="D106" t="s">
        <v>92</v>
      </c>
      <c r="E106" t="s">
        <v>28</v>
      </c>
      <c r="F106" t="str">
        <f t="shared" si="34"/>
        <v>Distribution system assetsReplacement</v>
      </c>
      <c r="K106" s="230">
        <v>30.299999999999997</v>
      </c>
      <c r="L106" s="230">
        <v>0</v>
      </c>
      <c r="M106" s="230">
        <v>0</v>
      </c>
      <c r="N106" s="230">
        <v>48.804993870060677</v>
      </c>
      <c r="O106" s="230">
        <v>1.375</v>
      </c>
      <c r="P106" s="230">
        <v>80.479993870060667</v>
      </c>
    </row>
    <row r="107" spans="3:16" outlineLevel="1" x14ac:dyDescent="0.25">
      <c r="K107" s="77">
        <v>238.30654504400479</v>
      </c>
      <c r="L107" s="77">
        <v>101.75413298104034</v>
      </c>
      <c r="M107" s="77">
        <v>23.929002318193607</v>
      </c>
      <c r="N107" s="77">
        <v>247.34196464269377</v>
      </c>
      <c r="O107" s="77">
        <v>43.032002897754978</v>
      </c>
      <c r="P107" s="77">
        <v>654.36364788368735</v>
      </c>
    </row>
    <row r="108" spans="3:16" outlineLevel="1" x14ac:dyDescent="0.25">
      <c r="K108" s="235">
        <f t="shared" ref="K108:P108" si="38">K107-K76</f>
        <v>0</v>
      </c>
      <c r="L108" s="235">
        <f t="shared" si="38"/>
        <v>0</v>
      </c>
      <c r="M108" s="235">
        <f t="shared" si="38"/>
        <v>0</v>
      </c>
      <c r="N108" s="235">
        <f t="shared" si="38"/>
        <v>0</v>
      </c>
      <c r="O108" s="235">
        <f t="shared" si="38"/>
        <v>0</v>
      </c>
      <c r="P108" s="235">
        <f t="shared" si="38"/>
        <v>0</v>
      </c>
    </row>
    <row r="109" spans="3:16" outlineLevel="1" x14ac:dyDescent="0.25"/>
    <row r="110" spans="3:16" outlineLevel="1" x14ac:dyDescent="0.25"/>
    <row r="111" spans="3:16" outlineLevel="1" x14ac:dyDescent="0.25"/>
    <row r="112" spans="3:16" outlineLevel="1" x14ac:dyDescent="0.25"/>
    <row r="113" outlineLevel="1" x14ac:dyDescent="0.25"/>
    <row r="114" outlineLevel="1" x14ac:dyDescent="0.25"/>
    <row r="115" outlineLevel="1" x14ac:dyDescent="0.25"/>
    <row r="116" outlineLevel="1" x14ac:dyDescent="0.25"/>
    <row r="117" outlineLevel="1" x14ac:dyDescent="0.25"/>
    <row r="118" outlineLevel="1" x14ac:dyDescent="0.25"/>
    <row r="119" outlineLevel="1" x14ac:dyDescent="0.25"/>
    <row r="120" outlineLevel="1" x14ac:dyDescent="0.25"/>
    <row r="121" outlineLevel="1" x14ac:dyDescent="0.25"/>
    <row r="122" outlineLevel="1" x14ac:dyDescent="0.25"/>
    <row r="123" outlineLevel="1" x14ac:dyDescent="0.25"/>
    <row r="124" outlineLevel="1" x14ac:dyDescent="0.25"/>
    <row r="125" outlineLevel="1" x14ac:dyDescent="0.25"/>
    <row r="126" outlineLevel="1" x14ac:dyDescent="0.25"/>
    <row r="127" outlineLevel="1" x14ac:dyDescent="0.25"/>
    <row r="128" outlineLevel="1" x14ac:dyDescent="0.25"/>
    <row r="129" outlineLevel="1" x14ac:dyDescent="0.25"/>
  </sheetData>
  <mergeCells count="3">
    <mergeCell ref="G3:I3"/>
    <mergeCell ref="K3:P3"/>
    <mergeCell ref="R3:X3"/>
  </mergeCells>
  <pageMargins left="0.25" right="0.25" top="0.75" bottom="0.75" header="0.3" footer="0.3"/>
  <pageSetup paperSize="9" scale="73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A1:AK128"/>
  <sheetViews>
    <sheetView zoomScale="70" zoomScaleNormal="70" workbookViewId="0">
      <pane xSplit="3" ySplit="4" topLeftCell="J38" activePane="bottomRight" state="frozen"/>
      <selection activeCell="K4" sqref="K4:P4"/>
      <selection pane="topRight" activeCell="K4" sqref="K4:P4"/>
      <selection pane="bottomLeft" activeCell="K4" sqref="K4:P4"/>
      <selection pane="bottomRight" activeCell="N51" sqref="N51"/>
    </sheetView>
  </sheetViews>
  <sheetFormatPr defaultRowHeight="15" outlineLevelRow="1" outlineLevelCol="1" x14ac:dyDescent="0.25"/>
  <cols>
    <col min="1" max="1" width="2.28515625" customWidth="1"/>
    <col min="2" max="2" width="3" customWidth="1"/>
    <col min="3" max="3" width="52" customWidth="1"/>
    <col min="4" max="5" width="21.28515625" customWidth="1" outlineLevel="1"/>
    <col min="6" max="6" width="32.85546875" customWidth="1" outlineLevel="1"/>
    <col min="7" max="7" width="9.28515625" customWidth="1"/>
    <col min="8" max="8" width="8.7109375" customWidth="1"/>
    <col min="9" max="9" width="10.7109375" customWidth="1"/>
    <col min="10" max="10" width="2.28515625" customWidth="1"/>
    <col min="11" max="11" width="10.5703125" customWidth="1"/>
    <col min="12" max="12" width="9.42578125" bestFit="1" customWidth="1"/>
    <col min="13" max="13" width="9.42578125" customWidth="1"/>
    <col min="14" max="14" width="12.28515625" customWidth="1"/>
    <col min="15" max="15" width="9.140625" bestFit="1" customWidth="1"/>
    <col min="16" max="16" width="10.28515625" customWidth="1"/>
    <col min="17" max="17" width="10" bestFit="1" customWidth="1"/>
    <col min="18" max="18" width="9.28515625" customWidth="1"/>
    <col min="19" max="19" width="10.28515625" customWidth="1"/>
    <col min="20" max="20" width="9.5703125" customWidth="1"/>
    <col min="21" max="25" width="8.7109375" customWidth="1"/>
    <col min="26" max="35" width="8.85546875" hidden="1" customWidth="1" outlineLevel="1"/>
    <col min="36" max="36" width="8.85546875" collapsed="1"/>
  </cols>
  <sheetData>
    <row r="1" spans="2:33" x14ac:dyDescent="0.25">
      <c r="N1" s="452" t="s">
        <v>112</v>
      </c>
      <c r="Q1" s="22"/>
    </row>
    <row r="2" spans="2:33" x14ac:dyDescent="0.25">
      <c r="B2" s="11" t="str">
        <f>STN_8&amp;" Volumes &amp; Unit Rates"</f>
        <v>BGE Volumes &amp; Unit Rates</v>
      </c>
    </row>
    <row r="3" spans="2:33" x14ac:dyDescent="0.25">
      <c r="B3" t="str">
        <f>STN_8</f>
        <v>BGE</v>
      </c>
      <c r="G3" s="462" t="s">
        <v>21</v>
      </c>
      <c r="H3" s="463"/>
      <c r="I3" s="464"/>
      <c r="K3" s="462" t="s">
        <v>276</v>
      </c>
      <c r="L3" s="463"/>
      <c r="M3" s="463"/>
      <c r="N3" s="463"/>
      <c r="O3" s="463"/>
      <c r="P3" s="464"/>
      <c r="R3" s="462" t="s">
        <v>277</v>
      </c>
      <c r="S3" s="463"/>
      <c r="T3" s="463"/>
      <c r="U3" s="463"/>
      <c r="V3" s="463"/>
      <c r="W3" s="463"/>
      <c r="X3" s="464"/>
    </row>
    <row r="4" spans="2:33" ht="45" customHeight="1" x14ac:dyDescent="0.25">
      <c r="D4" t="s">
        <v>5</v>
      </c>
      <c r="E4" t="s">
        <v>20</v>
      </c>
      <c r="G4" s="109" t="s">
        <v>278</v>
      </c>
      <c r="H4" s="110" t="s">
        <v>279</v>
      </c>
      <c r="I4" s="111" t="s">
        <v>280</v>
      </c>
      <c r="K4" s="111" t="s">
        <v>21</v>
      </c>
      <c r="L4" s="111" t="s">
        <v>22</v>
      </c>
      <c r="M4" s="118" t="s">
        <v>23</v>
      </c>
      <c r="N4" s="118" t="s">
        <v>24</v>
      </c>
      <c r="O4" s="111" t="s">
        <v>25</v>
      </c>
      <c r="P4" s="111" t="s">
        <v>26</v>
      </c>
      <c r="Q4" s="123" t="s">
        <v>281</v>
      </c>
      <c r="R4" s="115" t="s">
        <v>282</v>
      </c>
      <c r="S4" s="115" t="s">
        <v>82</v>
      </c>
      <c r="T4" s="115" t="s">
        <v>83</v>
      </c>
      <c r="U4" s="115" t="s">
        <v>84</v>
      </c>
      <c r="V4" s="115" t="s">
        <v>283</v>
      </c>
      <c r="W4" s="115" t="s">
        <v>85</v>
      </c>
      <c r="X4" s="115" t="s">
        <v>284</v>
      </c>
      <c r="Y4" s="115" t="s">
        <v>285</v>
      </c>
    </row>
    <row r="5" spans="2:33" x14ac:dyDescent="0.25">
      <c r="B5" s="116" t="s">
        <v>286</v>
      </c>
      <c r="C5" s="117"/>
      <c r="D5" s="117"/>
      <c r="E5" s="117"/>
      <c r="F5" s="117"/>
      <c r="G5" s="118"/>
      <c r="H5" s="110"/>
      <c r="I5" s="111"/>
      <c r="J5" s="117"/>
      <c r="K5" s="111"/>
      <c r="L5" s="111"/>
      <c r="M5" s="111"/>
      <c r="N5" s="118"/>
      <c r="O5" s="111"/>
      <c r="P5" s="111"/>
      <c r="R5" s="119">
        <f>Lab_Rates!$C$6*Escalators!C7*(1+Escalators!C17)*Escalators!$G$32</f>
        <v>162.48739067582716</v>
      </c>
      <c r="S5" s="119">
        <f>Lab_Rates!$C$7*Escalators!C7*(1+Escalators!C17)*Escalators!$G$32</f>
        <v>151.79743076294375</v>
      </c>
      <c r="T5" s="119">
        <f>Lab_Rates!$C$8*Escalators!C7*(1+Escalators!C17)*Escalators!$G$32</f>
        <v>176.38433856257552</v>
      </c>
      <c r="U5" s="119">
        <f>Lab_Rates!$C$9*Escalators!C7*(1+Escalators!C17)*Escalators!$G$32</f>
        <v>229.83413812699234</v>
      </c>
      <c r="V5" s="119">
        <f>Lab_Rates!$C$6*Escalators!C7*(1+Escalators!C17)*Escalators!$G$32</f>
        <v>162.48739067582716</v>
      </c>
      <c r="W5" s="119">
        <f>Lab_Rates!$C$10*Escalators!C7*(1+Escalators!C17)*Escalators!$G$32</f>
        <v>162.48739067582716</v>
      </c>
      <c r="X5" s="119">
        <f>Lab_Rates!$C$5*Escalators!C7*(1+Escalators!C17)*Escalators!$G$32</f>
        <v>133.62449891104205</v>
      </c>
    </row>
    <row r="6" spans="2:33" x14ac:dyDescent="0.25">
      <c r="B6" s="120"/>
      <c r="G6" s="121"/>
      <c r="H6" s="122"/>
      <c r="I6" s="123"/>
      <c r="K6" s="121"/>
      <c r="L6" s="121"/>
      <c r="M6" s="121"/>
      <c r="N6" s="236"/>
      <c r="O6" s="121"/>
      <c r="P6" s="237"/>
      <c r="R6" s="238"/>
      <c r="S6" s="238"/>
      <c r="T6" s="238"/>
      <c r="U6" s="238"/>
      <c r="V6" s="238"/>
      <c r="W6" s="238"/>
      <c r="X6" s="238"/>
    </row>
    <row r="7" spans="2:33" x14ac:dyDescent="0.25">
      <c r="B7" s="84" t="s">
        <v>333</v>
      </c>
      <c r="C7" s="23"/>
      <c r="D7" t="s">
        <v>1</v>
      </c>
      <c r="E7" t="s">
        <v>1</v>
      </c>
      <c r="G7" s="128"/>
      <c r="H7" s="129"/>
      <c r="I7" s="130"/>
      <c r="K7" s="131"/>
      <c r="L7" s="121">
        <f>SUMPRODUCT(R$5:X$5,R7:X7)/Thousands</f>
        <v>0</v>
      </c>
      <c r="M7" s="132">
        <v>800</v>
      </c>
      <c r="N7" s="132"/>
      <c r="O7" s="128"/>
      <c r="P7" s="126">
        <f t="shared" ref="P7" si="0">SUM(K7:O7)</f>
        <v>800</v>
      </c>
      <c r="Q7" s="133"/>
      <c r="R7" s="134"/>
      <c r="S7" s="135"/>
      <c r="T7" s="135"/>
      <c r="U7" s="135"/>
      <c r="V7" s="135"/>
      <c r="W7" s="135"/>
      <c r="X7" s="135"/>
    </row>
    <row r="8" spans="2:33" x14ac:dyDescent="0.25">
      <c r="B8" s="136"/>
      <c r="C8" s="325"/>
      <c r="D8" s="46"/>
      <c r="E8" s="46"/>
      <c r="F8" s="46"/>
      <c r="G8" s="137"/>
      <c r="H8" s="138"/>
      <c r="I8" s="139"/>
      <c r="K8" s="140"/>
      <c r="L8" s="140"/>
      <c r="M8" s="137"/>
      <c r="N8" s="141"/>
      <c r="O8" s="141"/>
      <c r="P8" s="142"/>
      <c r="Q8" s="133"/>
      <c r="R8" s="127"/>
      <c r="S8" s="127"/>
      <c r="T8" s="127"/>
      <c r="U8" s="127"/>
      <c r="V8" s="127"/>
      <c r="W8" s="127"/>
      <c r="X8" s="127"/>
    </row>
    <row r="9" spans="2:33" x14ac:dyDescent="0.25">
      <c r="B9" s="143" t="s">
        <v>288</v>
      </c>
      <c r="C9" s="324"/>
      <c r="D9" s="117"/>
      <c r="E9" s="117"/>
      <c r="F9" s="117"/>
      <c r="G9" s="144"/>
      <c r="H9" s="110"/>
      <c r="I9" s="111"/>
      <c r="K9" s="145"/>
      <c r="L9" s="145"/>
      <c r="M9" s="144"/>
      <c r="N9" s="146"/>
      <c r="O9" s="146"/>
      <c r="P9" s="147"/>
      <c r="Q9" s="108"/>
      <c r="R9" s="127"/>
      <c r="S9" s="127"/>
      <c r="T9" s="127"/>
      <c r="U9" s="127"/>
      <c r="V9" s="127"/>
      <c r="W9" s="127"/>
      <c r="X9" s="127"/>
    </row>
    <row r="10" spans="2:33" x14ac:dyDescent="0.25">
      <c r="B10" s="84"/>
      <c r="C10" s="23" t="s">
        <v>289</v>
      </c>
      <c r="D10" t="s">
        <v>1</v>
      </c>
      <c r="E10" t="s">
        <v>1</v>
      </c>
      <c r="G10" s="128"/>
      <c r="H10" s="129"/>
      <c r="I10" s="130"/>
      <c r="K10" s="148"/>
      <c r="L10" s="172">
        <f>SUMPRODUCT(R$5:X$5,R10:X10)/Thousands</f>
        <v>49.400442749416591</v>
      </c>
      <c r="M10" s="150"/>
      <c r="N10" s="150">
        <v>0</v>
      </c>
      <c r="O10" s="151"/>
      <c r="P10" s="126">
        <f>SUM(K10:O10)</f>
        <v>49.400442749416591</v>
      </c>
      <c r="Q10" s="152"/>
      <c r="R10" s="134">
        <v>134</v>
      </c>
      <c r="S10" s="134">
        <v>142</v>
      </c>
      <c r="T10" s="134">
        <v>24</v>
      </c>
      <c r="U10" s="134">
        <v>8</v>
      </c>
      <c r="V10" s="134"/>
      <c r="W10" s="134"/>
      <c r="X10" s="134"/>
      <c r="Y10" s="77">
        <f>SUM(R10:X10)</f>
        <v>308</v>
      </c>
      <c r="AA10" s="6"/>
      <c r="AB10" s="6"/>
      <c r="AC10" s="6"/>
      <c r="AD10" s="6"/>
      <c r="AE10" s="6"/>
      <c r="AF10" s="6"/>
      <c r="AG10" s="6"/>
    </row>
    <row r="11" spans="2:33" x14ac:dyDescent="0.25">
      <c r="B11" s="84"/>
      <c r="C11" s="23" t="s">
        <v>290</v>
      </c>
      <c r="D11" t="s">
        <v>1</v>
      </c>
      <c r="E11" t="s">
        <v>1</v>
      </c>
      <c r="G11" s="128"/>
      <c r="H11" s="129"/>
      <c r="I11" s="130"/>
      <c r="K11" s="148"/>
      <c r="L11" s="172">
        <f>SUMPRODUCT(R$5:X$5,R11:X11)/Thousands</f>
        <v>616.27084399776948</v>
      </c>
      <c r="M11" s="150"/>
      <c r="N11" s="132">
        <v>0</v>
      </c>
      <c r="O11" s="151"/>
      <c r="P11" s="126">
        <f>SUM(K11:O11)</f>
        <v>616.27084399776948</v>
      </c>
      <c r="Q11" s="133"/>
      <c r="R11" s="134">
        <v>96</v>
      </c>
      <c r="S11" s="134"/>
      <c r="T11" s="134">
        <v>1296</v>
      </c>
      <c r="U11" s="134">
        <v>312</v>
      </c>
      <c r="V11" s="134">
        <v>952.5</v>
      </c>
      <c r="W11" s="134">
        <v>864</v>
      </c>
      <c r="X11" s="134">
        <v>39</v>
      </c>
      <c r="Y11" s="77">
        <f t="shared" ref="Y11:Y13" si="1">SUM(R11:X11)</f>
        <v>3559.5</v>
      </c>
      <c r="AA11" s="6"/>
      <c r="AB11" s="6"/>
      <c r="AC11" s="6"/>
      <c r="AD11" s="6"/>
      <c r="AE11" s="6"/>
      <c r="AF11" s="6"/>
      <c r="AG11" s="6"/>
    </row>
    <row r="12" spans="2:33" x14ac:dyDescent="0.25">
      <c r="B12" s="84"/>
      <c r="C12" s="23" t="s">
        <v>291</v>
      </c>
      <c r="D12" t="s">
        <v>1</v>
      </c>
      <c r="E12" t="s">
        <v>1</v>
      </c>
      <c r="G12" s="128"/>
      <c r="H12" s="129"/>
      <c r="I12" s="130"/>
      <c r="K12" s="148"/>
      <c r="L12" s="172">
        <f>SUMPRODUCT(R$5:X$5,R12:X12)/Thousands</f>
        <v>19.310343586632509</v>
      </c>
      <c r="M12" s="150"/>
      <c r="N12" s="150">
        <v>0</v>
      </c>
      <c r="O12" s="151"/>
      <c r="P12" s="126">
        <f>SUM(K12:O12)</f>
        <v>19.310343586632509</v>
      </c>
      <c r="Q12" s="152"/>
      <c r="R12" s="134">
        <v>32</v>
      </c>
      <c r="S12" s="134"/>
      <c r="T12" s="134">
        <v>80</v>
      </c>
      <c r="U12" s="134"/>
      <c r="V12" s="134"/>
      <c r="W12" s="134"/>
      <c r="X12" s="134"/>
      <c r="Y12" s="77">
        <f t="shared" si="1"/>
        <v>112</v>
      </c>
      <c r="AA12" s="6"/>
      <c r="AB12" s="6"/>
      <c r="AC12" s="6"/>
      <c r="AD12" s="6"/>
      <c r="AE12" s="6"/>
      <c r="AF12" s="6"/>
      <c r="AG12" s="6"/>
    </row>
    <row r="13" spans="2:33" x14ac:dyDescent="0.25">
      <c r="B13" s="84"/>
      <c r="C13" s="23" t="s">
        <v>292</v>
      </c>
      <c r="D13" t="s">
        <v>1</v>
      </c>
      <c r="E13" t="s">
        <v>1</v>
      </c>
      <c r="G13" s="128"/>
      <c r="H13" s="129"/>
      <c r="I13" s="130"/>
      <c r="K13" s="148"/>
      <c r="L13" s="149"/>
      <c r="M13" s="150"/>
      <c r="N13" s="150">
        <v>0</v>
      </c>
      <c r="O13" s="151"/>
      <c r="P13" s="126">
        <f>SUM(K13:O13)</f>
        <v>0</v>
      </c>
      <c r="Q13" s="133"/>
      <c r="R13" s="134"/>
      <c r="S13" s="134"/>
      <c r="T13" s="134"/>
      <c r="U13" s="134"/>
      <c r="V13" s="134"/>
      <c r="W13" s="134"/>
      <c r="X13" s="134"/>
      <c r="Y13" s="77">
        <f t="shared" si="1"/>
        <v>0</v>
      </c>
      <c r="AA13" s="6"/>
      <c r="AB13" s="6"/>
      <c r="AC13" s="6"/>
      <c r="AD13" s="6"/>
      <c r="AE13" s="6"/>
      <c r="AF13" s="6"/>
      <c r="AG13" s="6"/>
    </row>
    <row r="14" spans="2:33" x14ac:dyDescent="0.25">
      <c r="B14" s="136"/>
      <c r="C14" s="325"/>
      <c r="D14" s="46"/>
      <c r="E14" s="46"/>
      <c r="F14" s="46"/>
      <c r="G14" s="140"/>
      <c r="H14" s="138"/>
      <c r="I14" s="139"/>
      <c r="K14" s="154"/>
      <c r="L14" s="155"/>
      <c r="M14" s="155"/>
      <c r="N14" s="239"/>
      <c r="O14" s="154"/>
      <c r="P14" s="240"/>
      <c r="R14" s="238"/>
      <c r="S14" s="238"/>
      <c r="T14" s="238"/>
      <c r="U14" s="238"/>
      <c r="V14" s="238"/>
      <c r="W14" s="238"/>
      <c r="X14" s="238"/>
    </row>
    <row r="15" spans="2:33" x14ac:dyDescent="0.25">
      <c r="B15" s="143" t="s">
        <v>455</v>
      </c>
      <c r="C15" s="324"/>
      <c r="D15" s="117"/>
      <c r="E15" s="117"/>
      <c r="F15" s="117"/>
      <c r="G15" s="158"/>
      <c r="H15" s="116"/>
      <c r="I15" s="159"/>
      <c r="K15" s="160"/>
      <c r="L15" s="160"/>
      <c r="M15" s="160"/>
      <c r="N15" s="160"/>
      <c r="O15" s="160"/>
      <c r="P15" s="241"/>
      <c r="Q15" s="22"/>
      <c r="R15" s="242"/>
      <c r="S15" s="238"/>
      <c r="T15" s="238"/>
      <c r="U15" s="238"/>
      <c r="V15" s="238"/>
      <c r="W15" s="238"/>
      <c r="X15" s="238"/>
      <c r="AA15" s="5"/>
      <c r="AB15" s="5"/>
      <c r="AC15" s="5"/>
      <c r="AD15" s="5"/>
      <c r="AE15" s="5"/>
      <c r="AF15" s="5"/>
      <c r="AG15" s="5"/>
    </row>
    <row r="16" spans="2:33" x14ac:dyDescent="0.25">
      <c r="B16" s="120" t="s">
        <v>114</v>
      </c>
      <c r="C16" s="23"/>
      <c r="G16" s="166"/>
      <c r="H16" s="84"/>
      <c r="I16" s="167"/>
      <c r="J16" s="165"/>
      <c r="K16" s="149"/>
      <c r="L16" s="149"/>
      <c r="M16" s="149"/>
      <c r="N16" s="149"/>
      <c r="O16" s="149"/>
      <c r="P16" s="167"/>
      <c r="R16" s="238"/>
      <c r="S16" s="238"/>
      <c r="T16" s="238"/>
      <c r="U16" s="238"/>
      <c r="V16" s="238"/>
      <c r="W16" s="238"/>
      <c r="X16" s="238"/>
      <c r="AA16" s="5"/>
      <c r="AB16" s="5"/>
      <c r="AC16" s="5"/>
      <c r="AD16" s="5"/>
      <c r="AE16" s="5"/>
      <c r="AF16" s="5"/>
      <c r="AG16" s="5"/>
    </row>
    <row r="17" spans="2:33" x14ac:dyDescent="0.25">
      <c r="B17" s="84"/>
      <c r="C17" s="23" t="s">
        <v>122</v>
      </c>
      <c r="D17" t="str">
        <f>INDEX(Unit_Rates!$C$7:$K$113,MATCH($C17,Unit_Rates!$C$7:$C$113,0),5)</f>
        <v>Subtransmission</v>
      </c>
      <c r="E17" t="str">
        <f>INDEX(Unit_Rates!$C$7:$K$113,MATCH($C17,Unit_Rates!$C$7:$C$113,0),6)</f>
        <v>Augmentation</v>
      </c>
      <c r="F17" t="str">
        <f>D17&amp;E17</f>
        <v>SubtransmissionAugmentation</v>
      </c>
      <c r="G17" s="170">
        <f>INDEX(Unit_Rates!$C$7:$K$113,MATCH($C17,Unit_Rates!$C$7:$C$113,0),7)</f>
        <v>72.618999999999986</v>
      </c>
      <c r="H17" s="171"/>
      <c r="I17" s="123" t="s">
        <v>294</v>
      </c>
      <c r="J17" s="165"/>
      <c r="K17" s="172">
        <f t="shared" ref="K17:K22" si="2">G17*$H17</f>
        <v>0</v>
      </c>
      <c r="L17" s="173">
        <f t="shared" ref="L17:L47" si="3">SUMPRODUCT(R$5:X$5,R17:X17)/Thousands</f>
        <v>0</v>
      </c>
      <c r="M17" s="174"/>
      <c r="N17" s="448"/>
      <c r="O17" s="448"/>
      <c r="P17" s="449"/>
      <c r="Q17" s="152">
        <f>P17-H17*VLOOKUP(C17,Unit_Rates!$C$7:$E$51,3,FALSE)</f>
        <v>0</v>
      </c>
      <c r="R17" s="243">
        <v>0</v>
      </c>
      <c r="S17" s="243">
        <v>0</v>
      </c>
      <c r="T17" s="243">
        <v>0</v>
      </c>
      <c r="U17" s="243">
        <v>0</v>
      </c>
      <c r="V17" s="243">
        <v>0</v>
      </c>
      <c r="W17" s="243">
        <v>0</v>
      </c>
      <c r="X17" s="243">
        <v>0</v>
      </c>
      <c r="Y17" s="77">
        <f t="shared" ref="Y17:Y44" si="4">SUM(R17:X17)</f>
        <v>0</v>
      </c>
      <c r="AA17" s="5"/>
      <c r="AB17" s="5"/>
      <c r="AC17" s="5"/>
      <c r="AD17" s="5"/>
      <c r="AE17" s="5"/>
      <c r="AF17" s="5"/>
      <c r="AG17" s="5"/>
    </row>
    <row r="18" spans="2:33" x14ac:dyDescent="0.25">
      <c r="B18" s="84"/>
      <c r="C18" s="23" t="s">
        <v>124</v>
      </c>
      <c r="D18" t="str">
        <f>INDEX(Unit_Rates!$C$7:$K$113,MATCH($C18,Unit_Rates!$C$7:$C$113,0),5)</f>
        <v>Subtransmission</v>
      </c>
      <c r="E18" t="str">
        <f>INDEX(Unit_Rates!$C$7:$K$113,MATCH($C18,Unit_Rates!$C$7:$C$113,0),6)</f>
        <v>Augmentation</v>
      </c>
      <c r="F18" t="str">
        <f t="shared" ref="F18:F47" si="5">D18&amp;E18</f>
        <v>SubtransmissionAugmentation</v>
      </c>
      <c r="G18" s="170">
        <f>INDEX(Unit_Rates!$C$7:$K$113,MATCH($C18,Unit_Rates!$C$7:$C$113,0),7)</f>
        <v>112.82799999999997</v>
      </c>
      <c r="H18" s="171"/>
      <c r="I18" s="123" t="s">
        <v>294</v>
      </c>
      <c r="J18" s="165"/>
      <c r="K18" s="172">
        <f t="shared" si="2"/>
        <v>0</v>
      </c>
      <c r="L18" s="173">
        <f t="shared" si="3"/>
        <v>0</v>
      </c>
      <c r="M18" s="174"/>
      <c r="N18" s="448"/>
      <c r="O18" s="448"/>
      <c r="P18" s="449"/>
      <c r="Q18" s="152">
        <f>P18-H18*VLOOKUP(C18,Unit_Rates!$C$7:$E$51,3,FALSE)</f>
        <v>0</v>
      </c>
      <c r="R18" s="243">
        <v>0</v>
      </c>
      <c r="S18" s="243">
        <v>0</v>
      </c>
      <c r="T18" s="243">
        <v>0</v>
      </c>
      <c r="U18" s="243">
        <v>0</v>
      </c>
      <c r="V18" s="243">
        <v>0</v>
      </c>
      <c r="W18" s="243">
        <v>0</v>
      </c>
      <c r="X18" s="243">
        <v>0</v>
      </c>
      <c r="Y18" s="77">
        <f t="shared" si="4"/>
        <v>0</v>
      </c>
      <c r="AA18" s="5"/>
      <c r="AB18" s="5"/>
      <c r="AC18" s="5"/>
      <c r="AD18" s="5"/>
      <c r="AE18" s="5"/>
      <c r="AF18" s="5"/>
      <c r="AG18" s="5"/>
    </row>
    <row r="19" spans="2:33" x14ac:dyDescent="0.25">
      <c r="B19" s="84"/>
      <c r="C19" s="23" t="s">
        <v>432</v>
      </c>
      <c r="D19" t="str">
        <f>INDEX(Unit_Rates!$C$7:$K$113,MATCH($C19,Unit_Rates!$C$7:$C$113,0),5)</f>
        <v>Subtransmission</v>
      </c>
      <c r="E19" t="str">
        <f>INDEX(Unit_Rates!$C$7:$K$113,MATCH($C19,Unit_Rates!$C$7:$C$113,0),6)</f>
        <v>Augmentation</v>
      </c>
      <c r="F19" t="str">
        <f t="shared" ref="F19" si="6">D19&amp;E19</f>
        <v>SubtransmissionAugmentation</v>
      </c>
      <c r="G19" s="170">
        <f>INDEX(Unit_Rates!$C$7:$K$113,MATCH($C19,Unit_Rates!$C$7:$C$113,0),7)</f>
        <v>47.718692238676105</v>
      </c>
      <c r="H19" s="171">
        <v>1</v>
      </c>
      <c r="I19" s="123" t="s">
        <v>294</v>
      </c>
      <c r="J19" s="165"/>
      <c r="K19" s="172">
        <f t="shared" si="2"/>
        <v>47.718692238676105</v>
      </c>
      <c r="L19" s="173">
        <f t="shared" ref="L19" si="7">SUMPRODUCT(R$5:X$5,R19:X19)/Thousands</f>
        <v>0</v>
      </c>
      <c r="M19" s="174"/>
      <c r="N19" s="448"/>
      <c r="O19" s="448"/>
      <c r="P19" s="449"/>
      <c r="Q19" s="152">
        <f>P19-H19*VLOOKUP(C19,Unit_Rates!$C$7:$E$51,3,FALSE)</f>
        <v>0</v>
      </c>
      <c r="R19" s="243">
        <v>0</v>
      </c>
      <c r="S19" s="243">
        <v>0</v>
      </c>
      <c r="T19" s="243">
        <v>0</v>
      </c>
      <c r="U19" s="243">
        <v>0</v>
      </c>
      <c r="V19" s="243">
        <v>0</v>
      </c>
      <c r="W19" s="243">
        <v>0</v>
      </c>
      <c r="X19" s="243">
        <v>0</v>
      </c>
      <c r="Y19" s="77">
        <f t="shared" ref="Y19" si="8">SUM(R19:X19)</f>
        <v>0</v>
      </c>
      <c r="AA19" s="5"/>
      <c r="AB19" s="5"/>
      <c r="AC19" s="5"/>
      <c r="AD19" s="5"/>
      <c r="AE19" s="5"/>
      <c r="AF19" s="5"/>
      <c r="AG19" s="5"/>
    </row>
    <row r="20" spans="2:33" x14ac:dyDescent="0.25">
      <c r="B20" s="84"/>
      <c r="C20" s="23" t="s">
        <v>126</v>
      </c>
      <c r="D20" t="str">
        <f>INDEX(Unit_Rates!$C$7:$K$113,MATCH($C20,Unit_Rates!$C$7:$C$113,0),5)</f>
        <v>Subtransmission</v>
      </c>
      <c r="E20" t="str">
        <f>INDEX(Unit_Rates!$C$7:$K$113,MATCH($C20,Unit_Rates!$C$7:$C$113,0),6)</f>
        <v>Augmentation</v>
      </c>
      <c r="F20" t="str">
        <f t="shared" si="5"/>
        <v>SubtransmissionAugmentation</v>
      </c>
      <c r="G20" s="170">
        <f>INDEX(Unit_Rates!$C$7:$K$113,MATCH($C20,Unit_Rates!$C$7:$C$113,0),7)</f>
        <v>465.00233333333324</v>
      </c>
      <c r="H20" s="171"/>
      <c r="I20" s="123" t="s">
        <v>294</v>
      </c>
      <c r="J20" s="165"/>
      <c r="K20" s="172">
        <f t="shared" si="2"/>
        <v>0</v>
      </c>
      <c r="L20" s="173">
        <f t="shared" si="3"/>
        <v>0</v>
      </c>
      <c r="M20" s="174"/>
      <c r="N20" s="448"/>
      <c r="O20" s="448"/>
      <c r="P20" s="449"/>
      <c r="Q20" s="152">
        <f>P20-H20*VLOOKUP(C20,Unit_Rates!$C$7:$E$51,3,FALSE)</f>
        <v>0</v>
      </c>
      <c r="R20" s="243">
        <v>0</v>
      </c>
      <c r="S20" s="243">
        <v>0</v>
      </c>
      <c r="T20" s="243">
        <v>0</v>
      </c>
      <c r="U20" s="243">
        <v>0</v>
      </c>
      <c r="V20" s="243">
        <v>0</v>
      </c>
      <c r="W20" s="243">
        <v>0</v>
      </c>
      <c r="X20" s="243">
        <v>0</v>
      </c>
      <c r="Y20" s="77">
        <f t="shared" si="4"/>
        <v>0</v>
      </c>
    </row>
    <row r="21" spans="2:33" x14ac:dyDescent="0.25">
      <c r="B21" s="84"/>
      <c r="C21" s="23" t="s">
        <v>431</v>
      </c>
      <c r="D21" t="str">
        <f>INDEX(Unit_Rates!$C$7:$K$113,MATCH($C21,Unit_Rates!$C$7:$C$113,0),5)</f>
        <v>Subtransmission</v>
      </c>
      <c r="E21" t="str">
        <f>INDEX(Unit_Rates!$C$7:$K$113,MATCH($C21,Unit_Rates!$C$7:$C$113,0),6)</f>
        <v>Augmentation</v>
      </c>
      <c r="F21" t="str">
        <f t="shared" ref="F21" si="9">D21&amp;E21</f>
        <v>SubtransmissionAugmentation</v>
      </c>
      <c r="G21" s="170">
        <f>INDEX(Unit_Rates!$C$7:$K$113,MATCH($C21,Unit_Rates!$C$7:$C$113,0),7)</f>
        <v>1184.64554006969</v>
      </c>
      <c r="H21" s="171">
        <v>1</v>
      </c>
      <c r="I21" s="123" t="s">
        <v>294</v>
      </c>
      <c r="J21" s="165"/>
      <c r="K21" s="172">
        <f t="shared" si="2"/>
        <v>1184.64554006969</v>
      </c>
      <c r="L21" s="173">
        <f t="shared" ref="L21" si="10">SUMPRODUCT(R$5:X$5,R21:X21)/Thousands</f>
        <v>0</v>
      </c>
      <c r="M21" s="174"/>
      <c r="N21" s="448"/>
      <c r="O21" s="448"/>
      <c r="P21" s="449"/>
      <c r="Q21" s="152">
        <f>P21-H21*VLOOKUP(C21,Unit_Rates!$C$7:$E$51,3,FALSE)</f>
        <v>0</v>
      </c>
      <c r="R21" s="243">
        <v>0</v>
      </c>
      <c r="S21" s="243">
        <v>0</v>
      </c>
      <c r="T21" s="243">
        <v>0</v>
      </c>
      <c r="U21" s="243">
        <v>0</v>
      </c>
      <c r="V21" s="243">
        <v>0</v>
      </c>
      <c r="W21" s="243">
        <v>0</v>
      </c>
      <c r="X21" s="243">
        <v>0</v>
      </c>
      <c r="Y21" s="77">
        <f t="shared" ref="Y21" si="11">SUM(R21:X21)</f>
        <v>0</v>
      </c>
    </row>
    <row r="22" spans="2:33" x14ac:dyDescent="0.25">
      <c r="B22" s="84"/>
      <c r="C22" s="23" t="s">
        <v>128</v>
      </c>
      <c r="D22" t="str">
        <f>D18</f>
        <v>Subtransmission</v>
      </c>
      <c r="E22" t="str">
        <f>E18</f>
        <v>Augmentation</v>
      </c>
      <c r="F22" t="str">
        <f t="shared" si="5"/>
        <v>SubtransmissionAugmentation</v>
      </c>
      <c r="G22" s="170">
        <f>INDEX(Unit_Rates!$C$7:$K$113,MATCH($C22,Unit_Rates!$C$7:$C$113,0),7)</f>
        <v>39.294999999999995</v>
      </c>
      <c r="H22" s="171"/>
      <c r="I22" s="175" t="s">
        <v>294</v>
      </c>
      <c r="J22" s="176"/>
      <c r="K22" s="177">
        <f t="shared" si="2"/>
        <v>0</v>
      </c>
      <c r="L22" s="177">
        <f t="shared" si="3"/>
        <v>0</v>
      </c>
      <c r="M22" s="178"/>
      <c r="N22" s="448"/>
      <c r="O22" s="448"/>
      <c r="P22" s="450"/>
      <c r="Q22" s="152">
        <f>P22-H22*VLOOKUP(C22,Unit_Rates!$C$7:$E$51,3,FALSE)</f>
        <v>0</v>
      </c>
      <c r="R22" s="243">
        <v>0</v>
      </c>
      <c r="S22" s="243">
        <v>0</v>
      </c>
      <c r="T22" s="243">
        <v>0</v>
      </c>
      <c r="U22" s="243">
        <v>0</v>
      </c>
      <c r="V22" s="243">
        <v>0</v>
      </c>
      <c r="W22" s="243">
        <v>0</v>
      </c>
      <c r="X22" s="243">
        <v>0</v>
      </c>
      <c r="Y22" s="77">
        <f t="shared" si="4"/>
        <v>0</v>
      </c>
      <c r="AA22" s="5"/>
      <c r="AB22" s="5"/>
      <c r="AC22" s="5"/>
      <c r="AD22" s="5"/>
      <c r="AE22" s="5"/>
      <c r="AF22" s="5"/>
      <c r="AG22" s="5"/>
    </row>
    <row r="23" spans="2:33" x14ac:dyDescent="0.25">
      <c r="B23" s="84"/>
      <c r="C23" s="23" t="s">
        <v>130</v>
      </c>
      <c r="D23" t="str">
        <f>INDEX(Unit_Rates!$C$7:$K$113,MATCH($C23,Unit_Rates!$C$7:$C$113,0),5)</f>
        <v>Subtransmission</v>
      </c>
      <c r="E23" t="str">
        <f>INDEX(Unit_Rates!$C$7:$K$113,MATCH($C23,Unit_Rates!$C$7:$C$113,0),6)</f>
        <v>Augmentation</v>
      </c>
      <c r="F23" t="str">
        <f t="shared" si="5"/>
        <v>SubtransmissionAugmentation</v>
      </c>
      <c r="G23" s="170">
        <f>INDEX(Unit_Rates!$C$7:$K$113,MATCH($C23,Unit_Rates!$C$7:$C$113,0),7)</f>
        <v>42.974999999999994</v>
      </c>
      <c r="H23" s="171"/>
      <c r="I23" s="123" t="s">
        <v>294</v>
      </c>
      <c r="J23" s="165"/>
      <c r="K23" s="172">
        <f>G23*H23</f>
        <v>0</v>
      </c>
      <c r="L23" s="173">
        <f t="shared" si="3"/>
        <v>0</v>
      </c>
      <c r="M23" s="174"/>
      <c r="N23" s="448"/>
      <c r="O23" s="448"/>
      <c r="P23" s="449"/>
      <c r="Q23" s="152">
        <f>P23-H23*VLOOKUP(C23,Unit_Rates!$C$7:$E$51,3,FALSE)</f>
        <v>0</v>
      </c>
      <c r="R23" s="243">
        <v>0</v>
      </c>
      <c r="S23" s="243">
        <v>0</v>
      </c>
      <c r="T23" s="243">
        <v>0</v>
      </c>
      <c r="U23" s="243">
        <v>0</v>
      </c>
      <c r="V23" s="243">
        <v>0</v>
      </c>
      <c r="W23" s="243">
        <v>0</v>
      </c>
      <c r="X23" s="243">
        <v>0</v>
      </c>
      <c r="Y23" s="77">
        <f t="shared" si="4"/>
        <v>0</v>
      </c>
      <c r="AA23" s="5"/>
      <c r="AB23" s="5"/>
      <c r="AC23" s="5"/>
      <c r="AD23" s="5"/>
      <c r="AE23" s="5"/>
      <c r="AF23" s="5"/>
      <c r="AG23" s="5"/>
    </row>
    <row r="24" spans="2:33" x14ac:dyDescent="0.25">
      <c r="B24" s="84"/>
      <c r="C24" s="23" t="s">
        <v>132</v>
      </c>
      <c r="D24" t="str">
        <f>INDEX(Unit_Rates!$C$7:$K$113,MATCH($C24,Unit_Rates!$C$7:$C$113,0),5)</f>
        <v>Subtransmission</v>
      </c>
      <c r="E24" t="str">
        <f>INDEX(Unit_Rates!$C$7:$K$113,MATCH($C24,Unit_Rates!$C$7:$C$113,0),6)</f>
        <v>Augmentation</v>
      </c>
      <c r="F24" t="str">
        <f t="shared" si="5"/>
        <v>SubtransmissionAugmentation</v>
      </c>
      <c r="G24" s="170">
        <f>INDEX(Unit_Rates!$C$7:$K$113,MATCH($C24,Unit_Rates!$C$7:$C$113,0),7)</f>
        <v>0</v>
      </c>
      <c r="H24" s="171"/>
      <c r="I24" s="123" t="s">
        <v>294</v>
      </c>
      <c r="J24" s="165"/>
      <c r="K24" s="172">
        <f>G24*H24</f>
        <v>0</v>
      </c>
      <c r="L24" s="173">
        <f t="shared" si="3"/>
        <v>0</v>
      </c>
      <c r="M24" s="174"/>
      <c r="N24" s="448"/>
      <c r="O24" s="448"/>
      <c r="P24" s="449"/>
      <c r="Q24" s="152">
        <f>P24-H24*VLOOKUP(C24,Unit_Rates!$C$7:$E$51,3,FALSE)</f>
        <v>0</v>
      </c>
      <c r="R24" s="243">
        <v>0</v>
      </c>
      <c r="S24" s="243">
        <v>0</v>
      </c>
      <c r="T24" s="243">
        <v>0</v>
      </c>
      <c r="U24" s="243">
        <v>0</v>
      </c>
      <c r="V24" s="243">
        <v>0</v>
      </c>
      <c r="W24" s="243">
        <v>0</v>
      </c>
      <c r="X24" s="243">
        <v>0</v>
      </c>
      <c r="Y24" s="77">
        <f t="shared" si="4"/>
        <v>0</v>
      </c>
      <c r="AA24" s="5"/>
      <c r="AB24" s="5"/>
      <c r="AC24" s="5"/>
      <c r="AD24" s="5"/>
      <c r="AE24" s="5"/>
      <c r="AF24" s="5"/>
      <c r="AG24" s="5"/>
    </row>
    <row r="25" spans="2:33" x14ac:dyDescent="0.25">
      <c r="B25" s="84"/>
      <c r="C25" s="23" t="s">
        <v>133</v>
      </c>
      <c r="D25" t="str">
        <f>INDEX(Unit_Rates!$C$7:$K$113,MATCH($C25,Unit_Rates!$C$7:$C$113,0),5)</f>
        <v>SCADA/Network control</v>
      </c>
      <c r="E25" t="str">
        <f>INDEX(Unit_Rates!$C$7:$K$113,MATCH($C25,Unit_Rates!$C$7:$C$113,0),6)</f>
        <v>Augmentation</v>
      </c>
      <c r="F25" t="str">
        <f t="shared" si="5"/>
        <v>SCADA/Network controlAugmentation</v>
      </c>
      <c r="G25" s="170">
        <f>INDEX(Unit_Rates!$C$7:$K$113,MATCH($C25,Unit_Rates!$C$7:$C$113,0),7)</f>
        <v>1158.2999999999995</v>
      </c>
      <c r="H25" s="171">
        <v>1</v>
      </c>
      <c r="I25" s="123" t="s">
        <v>294</v>
      </c>
      <c r="J25" s="165"/>
      <c r="K25" s="172">
        <f>G25*H25</f>
        <v>1158.2999999999995</v>
      </c>
      <c r="L25" s="173">
        <f t="shared" si="3"/>
        <v>0</v>
      </c>
      <c r="M25" s="174"/>
      <c r="N25" s="448"/>
      <c r="O25" s="448"/>
      <c r="P25" s="449"/>
      <c r="Q25" s="152">
        <f>P25-H25*VLOOKUP(C25,Unit_Rates!$C$7:$E$51,3,FALSE)</f>
        <v>0</v>
      </c>
      <c r="R25" s="243">
        <v>0</v>
      </c>
      <c r="S25" s="243">
        <v>0</v>
      </c>
      <c r="T25" s="243">
        <v>0</v>
      </c>
      <c r="U25" s="243">
        <v>0</v>
      </c>
      <c r="V25" s="243">
        <v>0</v>
      </c>
      <c r="W25" s="243">
        <v>0</v>
      </c>
      <c r="X25" s="243">
        <v>0</v>
      </c>
      <c r="Y25" s="77">
        <f t="shared" si="4"/>
        <v>0</v>
      </c>
      <c r="AA25" s="5"/>
      <c r="AB25" s="5"/>
      <c r="AC25" s="5"/>
      <c r="AD25" s="5"/>
      <c r="AE25" s="5"/>
      <c r="AF25" s="5"/>
      <c r="AG25" s="5"/>
    </row>
    <row r="26" spans="2:33" x14ac:dyDescent="0.25">
      <c r="B26" s="84"/>
      <c r="C26" s="23" t="s">
        <v>135</v>
      </c>
      <c r="D26" t="str">
        <f>INDEX(Unit_Rates!$C$7:$K$113,MATCH($C26,Unit_Rates!$C$7:$C$113,0),5)</f>
        <v>Subtransmission</v>
      </c>
      <c r="E26" t="str">
        <f>INDEX(Unit_Rates!$C$7:$K$113,MATCH($C26,Unit_Rates!$C$7:$C$113,0),6)</f>
        <v>Augmentation</v>
      </c>
      <c r="F26" t="str">
        <f t="shared" si="5"/>
        <v>SubtransmissionAugmentation</v>
      </c>
      <c r="G26" s="170">
        <f>INDEX(Unit_Rates!$C$7:$K$113,MATCH($C26,Unit_Rates!$C$7:$C$113,0),7)</f>
        <v>0</v>
      </c>
      <c r="H26" s="171">
        <v>1</v>
      </c>
      <c r="I26" s="123" t="s">
        <v>294</v>
      </c>
      <c r="J26" s="165"/>
      <c r="K26" s="172">
        <f>G26*H26</f>
        <v>0</v>
      </c>
      <c r="L26" s="173">
        <f t="shared" si="3"/>
        <v>0</v>
      </c>
      <c r="M26" s="174"/>
      <c r="N26" s="448"/>
      <c r="O26" s="448"/>
      <c r="P26" s="449"/>
      <c r="Q26" s="152">
        <f>P26-H26*VLOOKUP(C26,Unit_Rates!$C$7:$E$51,3,FALSE)</f>
        <v>0</v>
      </c>
      <c r="R26" s="243">
        <v>0</v>
      </c>
      <c r="S26" s="243">
        <v>0</v>
      </c>
      <c r="T26" s="243">
        <v>0</v>
      </c>
      <c r="U26" s="243">
        <v>0</v>
      </c>
      <c r="V26" s="243">
        <v>0</v>
      </c>
      <c r="W26" s="243">
        <v>0</v>
      </c>
      <c r="X26" s="243">
        <v>0</v>
      </c>
      <c r="Y26" s="77">
        <f t="shared" si="4"/>
        <v>0</v>
      </c>
    </row>
    <row r="27" spans="2:33" x14ac:dyDescent="0.25">
      <c r="B27" s="84"/>
      <c r="C27" s="23" t="s">
        <v>137</v>
      </c>
      <c r="D27" t="str">
        <f>INDEX(Unit_Rates!$C$7:$K$113,MATCH($C27,Unit_Rates!$C$7:$C$113,0),5)</f>
        <v>Subtransmission</v>
      </c>
      <c r="E27" t="str">
        <f>INDEX(Unit_Rates!$C$7:$K$113,MATCH($C27,Unit_Rates!$C$7:$C$113,0),6)</f>
        <v>Augmentation</v>
      </c>
      <c r="F27" t="str">
        <f t="shared" si="5"/>
        <v>SubtransmissionAugmentation</v>
      </c>
      <c r="G27" s="170">
        <f>INDEX(Unit_Rates!$C$7:$K$113,MATCH($C27,Unit_Rates!$C$7:$C$113,0),7)</f>
        <v>1353.9999999999995</v>
      </c>
      <c r="H27" s="171"/>
      <c r="I27" s="123" t="s">
        <v>294</v>
      </c>
      <c r="J27" s="165"/>
      <c r="K27" s="172">
        <f t="shared" ref="K27:K47" si="12">G27*H27</f>
        <v>0</v>
      </c>
      <c r="L27" s="173">
        <f t="shared" si="3"/>
        <v>0</v>
      </c>
      <c r="M27" s="174"/>
      <c r="N27" s="448"/>
      <c r="O27" s="448"/>
      <c r="P27" s="449"/>
      <c r="Q27" s="152">
        <f>P27-H27*VLOOKUP(C27,Unit_Rates!$C$7:$E$51,3,FALSE)</f>
        <v>0</v>
      </c>
      <c r="R27" s="243">
        <v>0</v>
      </c>
      <c r="S27" s="243">
        <v>0</v>
      </c>
      <c r="T27" s="243">
        <v>0</v>
      </c>
      <c r="U27" s="243">
        <v>0</v>
      </c>
      <c r="V27" s="243">
        <v>0</v>
      </c>
      <c r="W27" s="243">
        <v>0</v>
      </c>
      <c r="X27" s="243">
        <v>0</v>
      </c>
      <c r="Y27" s="77">
        <f t="shared" si="4"/>
        <v>0</v>
      </c>
    </row>
    <row r="28" spans="2:33" x14ac:dyDescent="0.25">
      <c r="B28" s="84"/>
      <c r="C28" s="23" t="s">
        <v>139</v>
      </c>
      <c r="D28" t="str">
        <f>INDEX(Unit_Rates!$C$7:$K$113,MATCH($C28,Unit_Rates!$C$7:$C$113,0),5)</f>
        <v>Subtransmission</v>
      </c>
      <c r="E28" t="str">
        <f>INDEX(Unit_Rates!$C$7:$K$113,MATCH($C28,Unit_Rates!$C$7:$C$113,0),6)</f>
        <v>Augmentation</v>
      </c>
      <c r="F28" t="str">
        <f t="shared" si="5"/>
        <v>SubtransmissionAugmentation</v>
      </c>
      <c r="G28" s="170">
        <f>INDEX(Unit_Rates!$C$7:$K$113,MATCH($C28,Unit_Rates!$C$7:$C$113,0),7)</f>
        <v>1461.1162790697672</v>
      </c>
      <c r="H28" s="171"/>
      <c r="I28" s="123" t="s">
        <v>294</v>
      </c>
      <c r="J28" s="165"/>
      <c r="K28" s="172">
        <f t="shared" si="12"/>
        <v>0</v>
      </c>
      <c r="L28" s="173">
        <f t="shared" si="3"/>
        <v>0</v>
      </c>
      <c r="M28" s="174"/>
      <c r="N28" s="448"/>
      <c r="O28" s="448"/>
      <c r="P28" s="449"/>
      <c r="Q28" s="152">
        <f>P28-H28*VLOOKUP(C28,Unit_Rates!$C$7:$E$51,3,FALSE)</f>
        <v>0</v>
      </c>
      <c r="R28" s="243">
        <v>0</v>
      </c>
      <c r="S28" s="243">
        <v>0</v>
      </c>
      <c r="T28" s="243">
        <v>0</v>
      </c>
      <c r="U28" s="243">
        <v>0</v>
      </c>
      <c r="V28" s="243">
        <v>0</v>
      </c>
      <c r="W28" s="243">
        <v>0</v>
      </c>
      <c r="X28" s="243">
        <v>0</v>
      </c>
      <c r="Y28" s="77">
        <f t="shared" si="4"/>
        <v>0</v>
      </c>
    </row>
    <row r="29" spans="2:33" x14ac:dyDescent="0.25">
      <c r="B29" s="84"/>
      <c r="C29" s="23" t="s">
        <v>141</v>
      </c>
      <c r="D29" t="str">
        <f>INDEX(Unit_Rates!$C$7:$K$113,MATCH($C29,Unit_Rates!$C$7:$C$113,0),5)</f>
        <v>Subtransmission</v>
      </c>
      <c r="E29" t="str">
        <f>INDEX(Unit_Rates!$C$7:$K$113,MATCH($C29,Unit_Rates!$C$7:$C$113,0),6)</f>
        <v>Augmentation</v>
      </c>
      <c r="F29" t="str">
        <f t="shared" si="5"/>
        <v>SubtransmissionAugmentation</v>
      </c>
      <c r="G29" s="170">
        <f>INDEX(Unit_Rates!$C$7:$K$113,MATCH($C29,Unit_Rates!$C$7:$C$113,0),7)</f>
        <v>699.99999999999989</v>
      </c>
      <c r="H29" s="171"/>
      <c r="I29" s="123" t="s">
        <v>294</v>
      </c>
      <c r="J29" s="165"/>
      <c r="K29" s="172">
        <f t="shared" si="12"/>
        <v>0</v>
      </c>
      <c r="L29" s="173">
        <f t="shared" si="3"/>
        <v>0</v>
      </c>
      <c r="M29" s="174"/>
      <c r="N29" s="448"/>
      <c r="O29" s="448"/>
      <c r="P29" s="449"/>
      <c r="Q29" s="152">
        <f>P29-H29*VLOOKUP(C29,Unit_Rates!$C$7:$E$51,3,FALSE)</f>
        <v>0</v>
      </c>
      <c r="R29" s="243">
        <v>0</v>
      </c>
      <c r="S29" s="243">
        <v>0</v>
      </c>
      <c r="T29" s="243">
        <v>0</v>
      </c>
      <c r="U29" s="243">
        <v>0</v>
      </c>
      <c r="V29" s="243">
        <v>0</v>
      </c>
      <c r="W29" s="243">
        <v>0</v>
      </c>
      <c r="X29" s="243">
        <v>0</v>
      </c>
      <c r="Y29" s="77">
        <f t="shared" si="4"/>
        <v>0</v>
      </c>
    </row>
    <row r="30" spans="2:33" x14ac:dyDescent="0.25">
      <c r="B30" s="84"/>
      <c r="C30" s="23" t="s">
        <v>147</v>
      </c>
      <c r="D30" t="str">
        <f>INDEX(Unit_Rates!$C$7:$K$113,MATCH($C30,Unit_Rates!$C$7:$C$113,0),5)</f>
        <v>Subtransmission</v>
      </c>
      <c r="E30" t="str">
        <f>INDEX(Unit_Rates!$C$7:$K$113,MATCH($C30,Unit_Rates!$C$7:$C$113,0),6)</f>
        <v>Augmentation</v>
      </c>
      <c r="F30" t="str">
        <f t="shared" si="5"/>
        <v>SubtransmissionAugmentation</v>
      </c>
      <c r="G30" s="170">
        <f>INDEX(Unit_Rates!$C$7:$K$113,MATCH($C30,Unit_Rates!$C$7:$C$113,0),7)</f>
        <v>91.292437209302321</v>
      </c>
      <c r="H30" s="171"/>
      <c r="I30" s="123" t="s">
        <v>294</v>
      </c>
      <c r="J30" s="165"/>
      <c r="K30" s="172">
        <f t="shared" si="12"/>
        <v>0</v>
      </c>
      <c r="L30" s="173">
        <f t="shared" si="3"/>
        <v>0</v>
      </c>
      <c r="M30" s="174"/>
      <c r="N30" s="448"/>
      <c r="O30" s="448"/>
      <c r="P30" s="449"/>
      <c r="Q30" s="152">
        <f>P30-H30*VLOOKUP(C30,Unit_Rates!$C$7:$E$51,3,FALSE)</f>
        <v>0</v>
      </c>
      <c r="R30" s="243">
        <v>0</v>
      </c>
      <c r="S30" s="243">
        <v>0</v>
      </c>
      <c r="T30" s="243">
        <v>0</v>
      </c>
      <c r="U30" s="243">
        <v>0</v>
      </c>
      <c r="V30" s="243">
        <v>0</v>
      </c>
      <c r="W30" s="243">
        <v>0</v>
      </c>
      <c r="X30" s="243">
        <v>0</v>
      </c>
      <c r="Y30" s="77">
        <f t="shared" si="4"/>
        <v>0</v>
      </c>
    </row>
    <row r="31" spans="2:33" x14ac:dyDescent="0.25">
      <c r="B31" s="84"/>
      <c r="C31" s="23" t="s">
        <v>149</v>
      </c>
      <c r="D31" t="str">
        <f>INDEX(Unit_Rates!$C$7:$K$113,MATCH($C31,Unit_Rates!$C$7:$C$113,0),5)</f>
        <v>Subtransmission</v>
      </c>
      <c r="E31" t="str">
        <f>INDEX(Unit_Rates!$C$7:$K$113,MATCH($C31,Unit_Rates!$C$7:$C$113,0),6)</f>
        <v>Augmentation</v>
      </c>
      <c r="F31" t="str">
        <f t="shared" si="5"/>
        <v>SubtransmissionAugmentation</v>
      </c>
      <c r="G31" s="170">
        <f>INDEX(Unit_Rates!$C$7:$K$113,MATCH($C31,Unit_Rates!$C$7:$C$113,0),7)</f>
        <v>0</v>
      </c>
      <c r="H31" s="171"/>
      <c r="I31" s="123" t="s">
        <v>294</v>
      </c>
      <c r="J31" s="165"/>
      <c r="K31" s="172">
        <f t="shared" si="12"/>
        <v>0</v>
      </c>
      <c r="L31" s="173">
        <f t="shared" si="3"/>
        <v>0</v>
      </c>
      <c r="M31" s="174"/>
      <c r="N31" s="448"/>
      <c r="O31" s="448"/>
      <c r="P31" s="449"/>
      <c r="Q31" s="152">
        <f>P31-H31*VLOOKUP(C31,Unit_Rates!$C$7:$E$51,3,FALSE)</f>
        <v>0</v>
      </c>
      <c r="R31" s="243">
        <v>0</v>
      </c>
      <c r="S31" s="243">
        <v>0</v>
      </c>
      <c r="T31" s="243">
        <v>0</v>
      </c>
      <c r="U31" s="243">
        <v>0</v>
      </c>
      <c r="V31" s="243">
        <v>0</v>
      </c>
      <c r="W31" s="243">
        <v>0</v>
      </c>
      <c r="X31" s="243">
        <v>0</v>
      </c>
      <c r="Y31" s="77">
        <f t="shared" si="4"/>
        <v>0</v>
      </c>
    </row>
    <row r="32" spans="2:33" x14ac:dyDescent="0.25">
      <c r="B32" s="84"/>
      <c r="C32" s="23" t="s">
        <v>150</v>
      </c>
      <c r="D32" t="str">
        <f>INDEX(Unit_Rates!$C$7:$K$113,MATCH($C32,Unit_Rates!$C$7:$C$113,0),5)</f>
        <v>Subtransmission</v>
      </c>
      <c r="E32" t="str">
        <f>INDEX(Unit_Rates!$C$7:$K$113,MATCH($C32,Unit_Rates!$C$7:$C$113,0),6)</f>
        <v>Augmentation</v>
      </c>
      <c r="F32" t="str">
        <f t="shared" si="5"/>
        <v>SubtransmissionAugmentation</v>
      </c>
      <c r="G32" s="170">
        <f>INDEX(Unit_Rates!$C$7:$K$113,MATCH($C32,Unit_Rates!$C$7:$C$113,0),7)</f>
        <v>107.00599999999997</v>
      </c>
      <c r="H32" s="171"/>
      <c r="I32" s="123" t="s">
        <v>294</v>
      </c>
      <c r="J32" s="165"/>
      <c r="K32" s="172">
        <f t="shared" si="12"/>
        <v>0</v>
      </c>
      <c r="L32" s="173">
        <f t="shared" si="3"/>
        <v>0</v>
      </c>
      <c r="M32" s="174"/>
      <c r="N32" s="448"/>
      <c r="O32" s="448"/>
      <c r="P32" s="449"/>
      <c r="Q32" s="152">
        <f>P32-H32*VLOOKUP(C32,Unit_Rates!$C$7:$E$51,3,FALSE)</f>
        <v>0</v>
      </c>
      <c r="R32" s="243">
        <v>0</v>
      </c>
      <c r="S32" s="243">
        <v>0</v>
      </c>
      <c r="T32" s="243">
        <v>0</v>
      </c>
      <c r="U32" s="243">
        <v>0</v>
      </c>
      <c r="V32" s="243">
        <v>0</v>
      </c>
      <c r="W32" s="243">
        <v>0</v>
      </c>
      <c r="X32" s="243">
        <v>0</v>
      </c>
      <c r="Y32" s="77">
        <f t="shared" si="4"/>
        <v>0</v>
      </c>
    </row>
    <row r="33" spans="2:25" x14ac:dyDescent="0.25">
      <c r="B33" s="84"/>
      <c r="C33" s="23" t="s">
        <v>152</v>
      </c>
      <c r="D33" t="str">
        <f>INDEX(Unit_Rates!$C$7:$K$113,MATCH($C33,Unit_Rates!$C$7:$C$113,0),5)</f>
        <v>Subtransmission</v>
      </c>
      <c r="E33" t="str">
        <f>INDEX(Unit_Rates!$C$7:$K$113,MATCH($C33,Unit_Rates!$C$7:$C$113,0),6)</f>
        <v>Augmentation</v>
      </c>
      <c r="F33" t="str">
        <f t="shared" si="5"/>
        <v>SubtransmissionAugmentation</v>
      </c>
      <c r="G33" s="170">
        <f>INDEX(Unit_Rates!$C$7:$K$113,MATCH($C33,Unit_Rates!$C$7:$C$113,0),7)</f>
        <v>7.6639999999999979</v>
      </c>
      <c r="H33" s="171">
        <v>2</v>
      </c>
      <c r="I33" s="123" t="s">
        <v>294</v>
      </c>
      <c r="J33" s="165"/>
      <c r="K33" s="172">
        <f t="shared" si="12"/>
        <v>15.327999999999996</v>
      </c>
      <c r="L33" s="173">
        <f t="shared" si="3"/>
        <v>0</v>
      </c>
      <c r="M33" s="174"/>
      <c r="N33" s="448"/>
      <c r="O33" s="448"/>
      <c r="P33" s="449"/>
      <c r="Q33" s="152">
        <f>P33-H33*VLOOKUP(C33,Unit_Rates!$C$7:$E$51,3,FALSE)</f>
        <v>0</v>
      </c>
      <c r="R33" s="243">
        <v>0</v>
      </c>
      <c r="S33" s="243">
        <v>0</v>
      </c>
      <c r="T33" s="243">
        <v>0</v>
      </c>
      <c r="U33" s="243">
        <v>0</v>
      </c>
      <c r="V33" s="243">
        <v>0</v>
      </c>
      <c r="W33" s="243">
        <v>0</v>
      </c>
      <c r="X33" s="243">
        <v>0</v>
      </c>
      <c r="Y33" s="77">
        <f t="shared" si="4"/>
        <v>0</v>
      </c>
    </row>
    <row r="34" spans="2:25" x14ac:dyDescent="0.25">
      <c r="B34" s="84"/>
      <c r="C34" s="23" t="s">
        <v>156</v>
      </c>
      <c r="D34" t="str">
        <f>INDEX(Unit_Rates!$C$7:$K$113,MATCH($C34,Unit_Rates!$C$7:$C$113,0),5)</f>
        <v>Subtransmission</v>
      </c>
      <c r="E34" t="str">
        <f>INDEX(Unit_Rates!$C$7:$K$113,MATCH($C34,Unit_Rates!$C$7:$C$113,0),6)</f>
        <v>Augmentation</v>
      </c>
      <c r="F34" t="str">
        <f t="shared" si="5"/>
        <v>SubtransmissionAugmentation</v>
      </c>
      <c r="G34" s="170">
        <f>INDEX(Unit_Rates!$C$7:$K$113,MATCH($C34,Unit_Rates!$C$7:$C$113,0),7)</f>
        <v>27.162999999999993</v>
      </c>
      <c r="H34" s="171">
        <v>1</v>
      </c>
      <c r="I34" s="123" t="s">
        <v>294</v>
      </c>
      <c r="J34" s="165"/>
      <c r="K34" s="172">
        <f t="shared" si="12"/>
        <v>27.162999999999993</v>
      </c>
      <c r="L34" s="173">
        <f t="shared" si="3"/>
        <v>0</v>
      </c>
      <c r="M34" s="174"/>
      <c r="N34" s="448"/>
      <c r="O34" s="448"/>
      <c r="P34" s="449"/>
      <c r="Q34" s="152">
        <f>P34-H34*VLOOKUP(C34,Unit_Rates!$C$7:$E$51,3,FALSE)</f>
        <v>0</v>
      </c>
      <c r="R34" s="243">
        <v>0</v>
      </c>
      <c r="S34" s="243">
        <v>0</v>
      </c>
      <c r="T34" s="243">
        <v>0</v>
      </c>
      <c r="U34" s="243">
        <v>0</v>
      </c>
      <c r="V34" s="243">
        <v>0</v>
      </c>
      <c r="W34" s="243">
        <v>0</v>
      </c>
      <c r="X34" s="243">
        <v>0</v>
      </c>
      <c r="Y34" s="77">
        <f t="shared" si="4"/>
        <v>0</v>
      </c>
    </row>
    <row r="35" spans="2:25" x14ac:dyDescent="0.25">
      <c r="B35" s="84"/>
      <c r="C35" s="23" t="s">
        <v>157</v>
      </c>
      <c r="D35" t="str">
        <f>INDEX(Unit_Rates!$C$7:$K$113,MATCH($C35,Unit_Rates!$C$7:$C$113,0),5)</f>
        <v>Subtransmission</v>
      </c>
      <c r="E35" t="str">
        <f>INDEX(Unit_Rates!$C$7:$K$113,MATCH($C35,Unit_Rates!$C$7:$C$113,0),6)</f>
        <v>Augmentation</v>
      </c>
      <c r="F35" t="str">
        <f t="shared" si="5"/>
        <v>SubtransmissionAugmentation</v>
      </c>
      <c r="G35" s="170">
        <f>INDEX(Unit_Rates!$C$7:$K$113,MATCH($C35,Unit_Rates!$C$7:$C$113,0),7)</f>
        <v>0</v>
      </c>
      <c r="H35" s="171"/>
      <c r="I35" s="123" t="s">
        <v>294</v>
      </c>
      <c r="J35" s="165"/>
      <c r="K35" s="172">
        <f t="shared" si="12"/>
        <v>0</v>
      </c>
      <c r="L35" s="173">
        <f t="shared" si="3"/>
        <v>0</v>
      </c>
      <c r="M35" s="174"/>
      <c r="N35" s="448"/>
      <c r="O35" s="448"/>
      <c r="P35" s="449"/>
      <c r="Q35" s="152">
        <f>P35-H35*VLOOKUP(C35,Unit_Rates!$C$7:$E$51,3,FALSE)</f>
        <v>0</v>
      </c>
      <c r="R35" s="243">
        <v>0</v>
      </c>
      <c r="S35" s="243">
        <v>0</v>
      </c>
      <c r="T35" s="243">
        <v>0</v>
      </c>
      <c r="U35" s="243">
        <v>0</v>
      </c>
      <c r="V35" s="243">
        <v>0</v>
      </c>
      <c r="W35" s="243">
        <v>0</v>
      </c>
      <c r="X35" s="243">
        <v>0</v>
      </c>
      <c r="Y35" s="77">
        <f t="shared" si="4"/>
        <v>0</v>
      </c>
    </row>
    <row r="36" spans="2:25" x14ac:dyDescent="0.25">
      <c r="B36" s="84"/>
      <c r="C36" s="23" t="s">
        <v>155</v>
      </c>
      <c r="D36" t="str">
        <f>INDEX(Unit_Rates!$C$7:$K$113,MATCH($C36,Unit_Rates!$C$7:$C$113,0),5)</f>
        <v>Subtransmission</v>
      </c>
      <c r="E36" t="str">
        <f>INDEX(Unit_Rates!$C$7:$K$113,MATCH($C36,Unit_Rates!$C$7:$C$113,0),6)</f>
        <v>Augmentation</v>
      </c>
      <c r="F36" t="str">
        <f t="shared" si="5"/>
        <v>SubtransmissionAugmentation</v>
      </c>
      <c r="G36" s="170">
        <f>INDEX(Unit_Rates!$C$7:$K$113,MATCH($C36,Unit_Rates!$C$7:$C$113,0),7)</f>
        <v>0</v>
      </c>
      <c r="H36" s="171">
        <v>1</v>
      </c>
      <c r="I36" s="123" t="s">
        <v>294</v>
      </c>
      <c r="J36" s="165"/>
      <c r="K36" s="172">
        <f t="shared" si="12"/>
        <v>0</v>
      </c>
      <c r="L36" s="173">
        <f t="shared" si="3"/>
        <v>0</v>
      </c>
      <c r="M36" s="174"/>
      <c r="N36" s="448"/>
      <c r="O36" s="448"/>
      <c r="P36" s="449"/>
      <c r="Q36" s="152">
        <f>P36-H36*VLOOKUP(C36,Unit_Rates!$C$7:$E$51,3,FALSE)</f>
        <v>0</v>
      </c>
      <c r="R36" s="243">
        <v>0</v>
      </c>
      <c r="S36" s="243">
        <v>0</v>
      </c>
      <c r="T36" s="243">
        <v>0</v>
      </c>
      <c r="U36" s="243">
        <v>0</v>
      </c>
      <c r="V36" s="243">
        <v>0</v>
      </c>
      <c r="W36" s="243">
        <v>0</v>
      </c>
      <c r="X36" s="243">
        <v>0</v>
      </c>
      <c r="Y36" s="77">
        <f t="shared" si="4"/>
        <v>0</v>
      </c>
    </row>
    <row r="37" spans="2:25" x14ac:dyDescent="0.25">
      <c r="B37" s="84"/>
      <c r="C37" s="23" t="s">
        <v>159</v>
      </c>
      <c r="D37" t="str">
        <f>INDEX(Unit_Rates!$C$7:$K$113,MATCH($C37,Unit_Rates!$C$7:$C$113,0),5)</f>
        <v>Subtransmission</v>
      </c>
      <c r="E37" t="str">
        <f>INDEX(Unit_Rates!$C$7:$K$113,MATCH($C37,Unit_Rates!$C$7:$C$113,0),6)</f>
        <v>Augmentation</v>
      </c>
      <c r="F37" t="str">
        <f t="shared" si="5"/>
        <v>SubtransmissionAugmentation</v>
      </c>
      <c r="G37" s="170">
        <f>INDEX(Unit_Rates!$C$7:$K$113,MATCH($C37,Unit_Rates!$C$7:$C$113,0),7)</f>
        <v>0.61999999999999977</v>
      </c>
      <c r="H37" s="171">
        <v>1</v>
      </c>
      <c r="I37" s="123" t="s">
        <v>294</v>
      </c>
      <c r="J37" s="165"/>
      <c r="K37" s="172">
        <f t="shared" si="12"/>
        <v>0.61999999999999977</v>
      </c>
      <c r="L37" s="173">
        <f t="shared" si="3"/>
        <v>0</v>
      </c>
      <c r="M37" s="174"/>
      <c r="N37" s="448"/>
      <c r="O37" s="448"/>
      <c r="P37" s="449"/>
      <c r="Q37" s="152">
        <f>P37-H37*VLOOKUP(C37,Unit_Rates!$C$7:$E$51,3,FALSE)</f>
        <v>0</v>
      </c>
      <c r="R37" s="243">
        <v>0</v>
      </c>
      <c r="S37" s="243">
        <v>0</v>
      </c>
      <c r="T37" s="243">
        <v>0</v>
      </c>
      <c r="U37" s="243">
        <v>0</v>
      </c>
      <c r="V37" s="243">
        <v>0</v>
      </c>
      <c r="W37" s="243">
        <v>0</v>
      </c>
      <c r="X37" s="243">
        <v>0</v>
      </c>
      <c r="Y37" s="77">
        <f t="shared" si="4"/>
        <v>0</v>
      </c>
    </row>
    <row r="38" spans="2:25" x14ac:dyDescent="0.25">
      <c r="B38" s="84"/>
      <c r="C38" s="23" t="s">
        <v>179</v>
      </c>
      <c r="D38" t="str">
        <f>INDEX(Unit_Rates!$C$7:$K$113,MATCH($C38,Unit_Rates!$C$7:$C$113,0),5)</f>
        <v>Subtransmission</v>
      </c>
      <c r="E38" t="str">
        <f>INDEX(Unit_Rates!$C$7:$K$113,MATCH($C38,Unit_Rates!$C$7:$C$113,0),6)</f>
        <v>Augmentation</v>
      </c>
      <c r="F38" t="str">
        <f t="shared" si="5"/>
        <v>SubtransmissionAugmentation</v>
      </c>
      <c r="G38" s="170">
        <f>INDEX(Unit_Rates!$C$7:$K$113,MATCH($C38,Unit_Rates!$C$7:$C$113,0),7)</f>
        <v>0</v>
      </c>
      <c r="H38" s="171">
        <v>1</v>
      </c>
      <c r="I38" s="123" t="s">
        <v>294</v>
      </c>
      <c r="J38" s="165"/>
      <c r="K38" s="172">
        <f t="shared" si="12"/>
        <v>0</v>
      </c>
      <c r="L38" s="173">
        <f t="shared" si="3"/>
        <v>0</v>
      </c>
      <c r="M38" s="174"/>
      <c r="N38" s="448"/>
      <c r="O38" s="448"/>
      <c r="P38" s="449"/>
      <c r="Q38" s="152">
        <f>P38-H38*VLOOKUP(C38,Unit_Rates!$C$7:$E$51,3,FALSE)</f>
        <v>0</v>
      </c>
      <c r="R38" s="243">
        <v>0</v>
      </c>
      <c r="S38" s="243">
        <v>0</v>
      </c>
      <c r="T38" s="243">
        <v>0</v>
      </c>
      <c r="U38" s="243">
        <v>0</v>
      </c>
      <c r="V38" s="243">
        <v>0</v>
      </c>
      <c r="W38" s="243">
        <v>0</v>
      </c>
      <c r="X38" s="243">
        <v>0</v>
      </c>
      <c r="Y38" s="77">
        <f t="shared" si="4"/>
        <v>0</v>
      </c>
    </row>
    <row r="39" spans="2:25" x14ac:dyDescent="0.25">
      <c r="B39" s="84"/>
      <c r="C39" s="23" t="s">
        <v>161</v>
      </c>
      <c r="D39" t="str">
        <f>INDEX(Unit_Rates!$C$7:$K$113,MATCH($C39,Unit_Rates!$C$7:$C$113,0),5)</f>
        <v>Subtransmission</v>
      </c>
      <c r="E39" t="str">
        <f>INDEX(Unit_Rates!$C$7:$K$113,MATCH($C39,Unit_Rates!$C$7:$C$113,0),6)</f>
        <v>Augmentation</v>
      </c>
      <c r="F39" t="str">
        <f t="shared" si="5"/>
        <v>SubtransmissionAugmentation</v>
      </c>
      <c r="G39" s="170">
        <f>INDEX(Unit_Rates!$C$7:$K$113,MATCH($C39,Unit_Rates!$C$7:$C$113,0),7)</f>
        <v>93.853999999999985</v>
      </c>
      <c r="H39" s="171"/>
      <c r="I39" s="123" t="s">
        <v>294</v>
      </c>
      <c r="J39" s="165"/>
      <c r="K39" s="172">
        <f t="shared" si="12"/>
        <v>0</v>
      </c>
      <c r="L39" s="173">
        <f t="shared" si="3"/>
        <v>0</v>
      </c>
      <c r="M39" s="174"/>
      <c r="N39" s="448"/>
      <c r="O39" s="448"/>
      <c r="P39" s="449"/>
      <c r="Q39" s="152">
        <f>P39-H39*VLOOKUP(C39,Unit_Rates!$C$7:$E$51,3,FALSE)</f>
        <v>0</v>
      </c>
      <c r="R39" s="243">
        <v>0</v>
      </c>
      <c r="S39" s="243">
        <v>0</v>
      </c>
      <c r="T39" s="243">
        <v>0</v>
      </c>
      <c r="U39" s="243">
        <v>0</v>
      </c>
      <c r="V39" s="243">
        <v>0</v>
      </c>
      <c r="W39" s="243">
        <v>0</v>
      </c>
      <c r="X39" s="243">
        <v>0</v>
      </c>
      <c r="Y39" s="77">
        <f t="shared" si="4"/>
        <v>0</v>
      </c>
    </row>
    <row r="40" spans="2:25" x14ac:dyDescent="0.25">
      <c r="B40" s="84"/>
      <c r="C40" s="23" t="s">
        <v>441</v>
      </c>
      <c r="D40" t="str">
        <f>INDEX(Unit_Rates!$C$7:$K$113,MATCH($C40,Unit_Rates!$C$7:$C$113,0),5)</f>
        <v>Subtransmission</v>
      </c>
      <c r="E40" t="str">
        <f>INDEX(Unit_Rates!$C$7:$K$113,MATCH($C40,Unit_Rates!$C$7:$C$113,0),6)</f>
        <v>Augmentation</v>
      </c>
      <c r="F40" t="str">
        <f t="shared" si="5"/>
        <v>SubtransmissionAugmentation</v>
      </c>
      <c r="G40" s="170">
        <f>INDEX(Unit_Rates!$C$7:$K$113,MATCH($C40,Unit_Rates!$C$7:$C$113,0),7)</f>
        <v>109.17591463414668</v>
      </c>
      <c r="H40" s="171">
        <v>1</v>
      </c>
      <c r="I40" s="123" t="s">
        <v>294</v>
      </c>
      <c r="J40" s="165"/>
      <c r="K40" s="172">
        <f t="shared" si="12"/>
        <v>109.17591463414668</v>
      </c>
      <c r="L40" s="173">
        <f t="shared" si="3"/>
        <v>0</v>
      </c>
      <c r="M40" s="174"/>
      <c r="N40" s="448"/>
      <c r="O40" s="448"/>
      <c r="P40" s="449"/>
      <c r="Q40" s="152">
        <f>P40-H40*VLOOKUP(C40,Unit_Rates!$C$7:$E$51,3,FALSE)</f>
        <v>0</v>
      </c>
      <c r="R40" s="243">
        <v>0</v>
      </c>
      <c r="S40" s="243">
        <v>0</v>
      </c>
      <c r="T40" s="243">
        <v>0</v>
      </c>
      <c r="U40" s="243">
        <v>0</v>
      </c>
      <c r="V40" s="243">
        <v>0</v>
      </c>
      <c r="W40" s="243">
        <v>0</v>
      </c>
      <c r="X40" s="243">
        <v>0</v>
      </c>
      <c r="Y40" s="77">
        <f t="shared" si="4"/>
        <v>0</v>
      </c>
    </row>
    <row r="41" spans="2:25" x14ac:dyDescent="0.25">
      <c r="B41" s="84"/>
      <c r="C41" s="23" t="s">
        <v>169</v>
      </c>
      <c r="D41" t="str">
        <f>INDEX(Unit_Rates!$C$7:$K$113,MATCH($C41,Unit_Rates!$C$7:$C$113,0),5)</f>
        <v>Subtransmission</v>
      </c>
      <c r="E41" t="str">
        <f>INDEX(Unit_Rates!$C$7:$K$113,MATCH($C41,Unit_Rates!$C$7:$C$113,0),6)</f>
        <v>Augmentation</v>
      </c>
      <c r="F41" t="str">
        <f t="shared" si="5"/>
        <v>SubtransmissionAugmentation</v>
      </c>
      <c r="G41" s="170">
        <f>INDEX(Unit_Rates!$C$7:$K$113,MATCH($C41,Unit_Rates!$C$7:$C$113,0),7)</f>
        <v>174.5855255813953</v>
      </c>
      <c r="H41" s="171"/>
      <c r="I41" s="123" t="s">
        <v>294</v>
      </c>
      <c r="J41" s="165"/>
      <c r="K41" s="172">
        <f t="shared" si="12"/>
        <v>0</v>
      </c>
      <c r="L41" s="173">
        <f t="shared" si="3"/>
        <v>0</v>
      </c>
      <c r="M41" s="174"/>
      <c r="N41" s="448"/>
      <c r="O41" s="448"/>
      <c r="P41" s="449"/>
      <c r="Q41" s="152">
        <f>P41-H41*VLOOKUP(C41,Unit_Rates!$C$7:$E$51,3,FALSE)</f>
        <v>0</v>
      </c>
      <c r="R41" s="243">
        <v>0</v>
      </c>
      <c r="S41" s="243">
        <v>0</v>
      </c>
      <c r="T41" s="243">
        <v>0</v>
      </c>
      <c r="U41" s="243">
        <v>0</v>
      </c>
      <c r="V41" s="243">
        <v>0</v>
      </c>
      <c r="W41" s="243">
        <v>0</v>
      </c>
      <c r="X41" s="243">
        <v>0</v>
      </c>
      <c r="Y41" s="77">
        <f t="shared" si="4"/>
        <v>0</v>
      </c>
    </row>
    <row r="42" spans="2:25" x14ac:dyDescent="0.25">
      <c r="B42" s="84"/>
      <c r="C42" s="23" t="s">
        <v>171</v>
      </c>
      <c r="D42" t="str">
        <f>INDEX(Unit_Rates!$C$7:$K$113,MATCH($C42,Unit_Rates!$C$7:$C$113,0),5)</f>
        <v>Subtransmission</v>
      </c>
      <c r="E42" t="str">
        <f>INDEX(Unit_Rates!$C$7:$K$113,MATCH($C42,Unit_Rates!$C$7:$C$113,0),6)</f>
        <v>Augmentation</v>
      </c>
      <c r="F42" t="str">
        <f t="shared" si="5"/>
        <v>SubtransmissionAugmentation</v>
      </c>
      <c r="G42" s="170">
        <f>INDEX(Unit_Rates!$C$7:$K$113,MATCH($C42,Unit_Rates!$C$7:$C$113,0),7)</f>
        <v>369.03899999999987</v>
      </c>
      <c r="H42" s="171"/>
      <c r="I42" s="123" t="s">
        <v>294</v>
      </c>
      <c r="J42" s="165"/>
      <c r="K42" s="172">
        <f t="shared" si="12"/>
        <v>0</v>
      </c>
      <c r="L42" s="173">
        <f t="shared" si="3"/>
        <v>0</v>
      </c>
      <c r="M42" s="174"/>
      <c r="N42" s="448"/>
      <c r="O42" s="448"/>
      <c r="P42" s="449"/>
      <c r="Q42" s="152">
        <f>P42-H42*VLOOKUP(C42,Unit_Rates!$C$7:$E$51,3,FALSE)</f>
        <v>0</v>
      </c>
      <c r="R42" s="243">
        <v>0</v>
      </c>
      <c r="S42" s="243">
        <v>0</v>
      </c>
      <c r="T42" s="243">
        <v>0</v>
      </c>
      <c r="U42" s="243">
        <v>0</v>
      </c>
      <c r="V42" s="243">
        <v>0</v>
      </c>
      <c r="W42" s="243">
        <v>0</v>
      </c>
      <c r="X42" s="243">
        <v>0</v>
      </c>
      <c r="Y42" s="77">
        <f t="shared" si="4"/>
        <v>0</v>
      </c>
    </row>
    <row r="43" spans="2:25" x14ac:dyDescent="0.25">
      <c r="B43" s="84"/>
      <c r="C43" s="23" t="s">
        <v>173</v>
      </c>
      <c r="D43" t="str">
        <f>INDEX(Unit_Rates!$C$7:$K$113,MATCH($C43,Unit_Rates!$C$7:$C$113,0),5)</f>
        <v>Subtransmission</v>
      </c>
      <c r="E43" t="str">
        <f>INDEX(Unit_Rates!$C$7:$K$113,MATCH($C43,Unit_Rates!$C$7:$C$113,0),6)</f>
        <v>Augmentation</v>
      </c>
      <c r="F43" t="str">
        <f t="shared" si="5"/>
        <v>SubtransmissionAugmentation</v>
      </c>
      <c r="G43" s="170">
        <v>5.2373062200000008E-2</v>
      </c>
      <c r="H43" s="171">
        <v>50</v>
      </c>
      <c r="I43" s="123" t="s">
        <v>295</v>
      </c>
      <c r="J43" s="165"/>
      <c r="K43" s="172">
        <f t="shared" si="12"/>
        <v>2.6186531100000003</v>
      </c>
      <c r="L43" s="173">
        <f t="shared" si="3"/>
        <v>0</v>
      </c>
      <c r="M43" s="174"/>
      <c r="N43" s="448"/>
      <c r="O43" s="451"/>
      <c r="P43" s="449"/>
      <c r="Q43" s="152"/>
      <c r="R43" s="243">
        <v>0</v>
      </c>
      <c r="S43" s="243">
        <v>0</v>
      </c>
      <c r="T43" s="243">
        <v>0</v>
      </c>
      <c r="U43" s="243">
        <v>0</v>
      </c>
      <c r="V43" s="243">
        <v>0</v>
      </c>
      <c r="W43" s="243">
        <v>0</v>
      </c>
      <c r="X43" s="243">
        <v>0</v>
      </c>
      <c r="Y43" s="77">
        <f t="shared" si="4"/>
        <v>0</v>
      </c>
    </row>
    <row r="44" spans="2:25" x14ac:dyDescent="0.25">
      <c r="B44" s="84"/>
      <c r="C44" s="23" t="s">
        <v>177</v>
      </c>
      <c r="D44" t="str">
        <f>INDEX(Unit_Rates!$C$7:$K$113,MATCH($C44,Unit_Rates!$C$7:$C$113,0),5)</f>
        <v>Subtransmission</v>
      </c>
      <c r="E44" t="str">
        <f>INDEX(Unit_Rates!$C$7:$K$113,MATCH($C44,Unit_Rates!$C$7:$C$113,0),6)</f>
        <v>Augmentation</v>
      </c>
      <c r="F44" t="str">
        <f t="shared" si="5"/>
        <v>SubtransmissionAugmentation</v>
      </c>
      <c r="G44" s="179">
        <f>INDEX(Unit_Rates!$C$7:$K$113,MATCH($C44,Unit_Rates!$C$7:$C$113,0),7)</f>
        <v>4.9999999999999996E-2</v>
      </c>
      <c r="H44" s="171"/>
      <c r="I44" s="123" t="s">
        <v>295</v>
      </c>
      <c r="J44" s="165"/>
      <c r="K44" s="172">
        <f t="shared" si="12"/>
        <v>0</v>
      </c>
      <c r="L44" s="173">
        <f t="shared" si="3"/>
        <v>0</v>
      </c>
      <c r="M44" s="174"/>
      <c r="N44" s="448"/>
      <c r="O44" s="448"/>
      <c r="P44" s="449"/>
      <c r="Q44" s="152"/>
      <c r="R44" s="243">
        <v>0</v>
      </c>
      <c r="S44" s="243">
        <v>0</v>
      </c>
      <c r="T44" s="243">
        <v>0</v>
      </c>
      <c r="U44" s="243">
        <v>0</v>
      </c>
      <c r="V44" s="243">
        <v>0</v>
      </c>
      <c r="W44" s="243">
        <v>0</v>
      </c>
      <c r="X44" s="243">
        <v>0</v>
      </c>
      <c r="Y44" s="77">
        <f t="shared" si="4"/>
        <v>0</v>
      </c>
    </row>
    <row r="45" spans="2:25" x14ac:dyDescent="0.25">
      <c r="B45" s="84"/>
      <c r="C45" s="23" t="s">
        <v>25</v>
      </c>
      <c r="D45" t="s">
        <v>3</v>
      </c>
      <c r="E45" t="s">
        <v>27</v>
      </c>
      <c r="F45" t="str">
        <f t="shared" si="5"/>
        <v>SubtransmissionAugmentation</v>
      </c>
      <c r="G45" s="170">
        <v>0</v>
      </c>
      <c r="H45" s="171"/>
      <c r="I45" s="123" t="s">
        <v>294</v>
      </c>
      <c r="J45" s="165"/>
      <c r="K45" s="172">
        <f t="shared" si="12"/>
        <v>0</v>
      </c>
      <c r="L45" s="180">
        <f t="shared" si="3"/>
        <v>0</v>
      </c>
      <c r="M45" s="174"/>
      <c r="N45" s="448"/>
      <c r="O45" s="451"/>
      <c r="P45" s="449"/>
      <c r="Q45" s="163"/>
      <c r="R45" s="238"/>
      <c r="S45" s="238"/>
      <c r="T45" s="238"/>
      <c r="U45" s="238"/>
      <c r="V45" s="238"/>
      <c r="W45" s="238"/>
      <c r="X45" s="238"/>
      <c r="Y45" s="77"/>
    </row>
    <row r="46" spans="2:25" x14ac:dyDescent="0.25">
      <c r="B46" s="84"/>
      <c r="C46" s="23" t="s">
        <v>338</v>
      </c>
      <c r="D46" t="str">
        <f>INDEX(Unit_Rates!$C$7:$K$113,MATCH($C46,Unit_Rates!$C$7:$C$113,0),5)</f>
        <v>Subtransmission</v>
      </c>
      <c r="E46" t="str">
        <f>INDEX(Unit_Rates!$C$7:$K$113,MATCH($C46,Unit_Rates!$C$7:$C$113,0),6)</f>
        <v>Augmentation</v>
      </c>
      <c r="F46" t="str">
        <f t="shared" si="5"/>
        <v>SubtransmissionAugmentation</v>
      </c>
      <c r="G46" s="170">
        <f>INDEX(Unit_Rates!$C$7:$K$113,MATCH($C46,Unit_Rates!$C$7:$C$113,0),7)</f>
        <v>406.8</v>
      </c>
      <c r="H46" s="171"/>
      <c r="I46" s="123" t="s">
        <v>294</v>
      </c>
      <c r="J46" s="165"/>
      <c r="K46" s="172">
        <f t="shared" si="12"/>
        <v>0</v>
      </c>
      <c r="L46" s="180">
        <f t="shared" si="3"/>
        <v>0</v>
      </c>
      <c r="M46" s="174"/>
      <c r="N46" s="448"/>
      <c r="O46" s="448"/>
      <c r="P46" s="449"/>
      <c r="Q46" s="152">
        <f>P46-H46*VLOOKUP(C46,Unit_Rates!$C$7:$E$51,3,FALSE)</f>
        <v>0</v>
      </c>
      <c r="R46" s="238"/>
      <c r="S46" s="238"/>
      <c r="T46" s="238"/>
      <c r="U46" s="238"/>
      <c r="V46" s="238"/>
      <c r="W46" s="238"/>
      <c r="X46" s="238"/>
    </row>
    <row r="47" spans="2:25" x14ac:dyDescent="0.25">
      <c r="B47" s="84"/>
      <c r="C47" s="23" t="s">
        <v>183</v>
      </c>
      <c r="D47" t="str">
        <f>INDEX(Unit_Rates!$C$7:$K$113,MATCH($C47,Unit_Rates!$C$7:$C$113,0),5)</f>
        <v>Subtransmission</v>
      </c>
      <c r="E47" t="str">
        <f>INDEX(Unit_Rates!$C$7:$K$113,MATCH($C47,Unit_Rates!$C$7:$C$113,0),6)</f>
        <v>Augmentation</v>
      </c>
      <c r="F47" t="str">
        <f t="shared" si="5"/>
        <v>SubtransmissionAugmentation</v>
      </c>
      <c r="G47" s="170">
        <f>INDEX(Unit_Rates!$C$7:$K$113,MATCH($C47,Unit_Rates!$C$7:$C$113,0),7)</f>
        <v>0</v>
      </c>
      <c r="H47" s="171"/>
      <c r="I47" s="123" t="s">
        <v>294</v>
      </c>
      <c r="J47" s="165"/>
      <c r="K47" s="172">
        <f t="shared" si="12"/>
        <v>0</v>
      </c>
      <c r="L47" s="180">
        <f t="shared" si="3"/>
        <v>0</v>
      </c>
      <c r="M47" s="174"/>
      <c r="N47" s="448"/>
      <c r="O47" s="448"/>
      <c r="P47" s="449"/>
      <c r="Q47" s="152">
        <f>P47-H47*VLOOKUP(C47,Unit_Rates!$C$7:$E$51,3,FALSE)</f>
        <v>0</v>
      </c>
      <c r="R47" s="243">
        <v>0</v>
      </c>
      <c r="S47" s="243">
        <v>0</v>
      </c>
      <c r="T47" s="243">
        <v>0</v>
      </c>
      <c r="U47" s="243">
        <v>0</v>
      </c>
      <c r="V47" s="243">
        <v>0</v>
      </c>
      <c r="W47" s="243">
        <v>0</v>
      </c>
      <c r="X47" s="243">
        <v>0</v>
      </c>
    </row>
    <row r="48" spans="2:25" x14ac:dyDescent="0.25">
      <c r="B48" s="84"/>
      <c r="C48" s="23"/>
      <c r="G48" s="170"/>
      <c r="H48" s="171"/>
      <c r="I48" s="167"/>
      <c r="J48" s="165"/>
      <c r="K48" s="149"/>
      <c r="L48" s="167"/>
      <c r="M48" s="169"/>
      <c r="N48" s="181"/>
      <c r="O48" s="181"/>
      <c r="P48" s="371"/>
      <c r="Q48" s="152"/>
      <c r="R48" s="243">
        <v>0</v>
      </c>
      <c r="S48" s="243">
        <v>0</v>
      </c>
      <c r="T48" s="243">
        <v>0</v>
      </c>
      <c r="U48" s="243">
        <v>0</v>
      </c>
      <c r="V48" s="243">
        <v>0</v>
      </c>
      <c r="W48" s="243">
        <v>0</v>
      </c>
      <c r="X48" s="243">
        <v>0</v>
      </c>
      <c r="Y48" s="77">
        <f t="shared" ref="Y48:Y56" si="13">SUM(R48:X48)</f>
        <v>0</v>
      </c>
    </row>
    <row r="49" spans="2:25" x14ac:dyDescent="0.25">
      <c r="B49" s="120" t="s">
        <v>296</v>
      </c>
      <c r="C49" s="23"/>
      <c r="G49" s="170"/>
      <c r="H49" s="171"/>
      <c r="I49" s="123"/>
      <c r="J49" s="153"/>
      <c r="K49" s="172"/>
      <c r="L49" s="172"/>
      <c r="M49" s="181"/>
      <c r="N49" s="182"/>
      <c r="O49" s="181"/>
      <c r="P49" s="293"/>
      <c r="Q49" s="152"/>
      <c r="R49" s="243">
        <v>0</v>
      </c>
      <c r="S49" s="243">
        <v>0</v>
      </c>
      <c r="T49" s="243">
        <v>0</v>
      </c>
      <c r="U49" s="243">
        <v>0</v>
      </c>
      <c r="V49" s="243">
        <v>0</v>
      </c>
      <c r="W49" s="243">
        <v>0</v>
      </c>
      <c r="X49" s="243">
        <v>0</v>
      </c>
      <c r="Y49" s="77">
        <f t="shared" si="13"/>
        <v>0</v>
      </c>
    </row>
    <row r="50" spans="2:25" x14ac:dyDescent="0.25">
      <c r="B50" s="84"/>
      <c r="C50" s="23" t="s">
        <v>187</v>
      </c>
      <c r="D50" t="str">
        <f>INDEX(Unit_Rates!$C$7:$K$113,MATCH($C50,Unit_Rates!$C$7:$C$113,0),5)</f>
        <v>SCADA/Network control</v>
      </c>
      <c r="E50" t="str">
        <f>INDEX(Unit_Rates!$C$7:$K$113,MATCH($C50,Unit_Rates!$C$7:$C$113,0),6)</f>
        <v>Augmentation</v>
      </c>
      <c r="F50" t="str">
        <f t="shared" ref="F50:F59" si="14">D50&amp;E50</f>
        <v>SCADA/Network controlAugmentation</v>
      </c>
      <c r="G50" s="170">
        <f>INDEX(Unit_Rates!$C$7:$K$113,MATCH($C50,Unit_Rates!$C$7:$C$113,0),7)</f>
        <v>48.982274401473298</v>
      </c>
      <c r="H50" s="171"/>
      <c r="I50" s="123" t="s">
        <v>294</v>
      </c>
      <c r="J50" s="165"/>
      <c r="K50" s="149">
        <f>G50*H50</f>
        <v>0</v>
      </c>
      <c r="L50" s="149">
        <f t="shared" ref="L50:L59" si="15">SUMPRODUCT(R$5:X$5,R50:X50)/Thousands</f>
        <v>0</v>
      </c>
      <c r="M50" s="151"/>
      <c r="N50" s="448"/>
      <c r="O50" s="448"/>
      <c r="P50" s="449"/>
      <c r="Q50" s="152">
        <f>P50-H50*VLOOKUP(C50,Unit_Rates!$C$58:$E$113,3,FALSE)</f>
        <v>0</v>
      </c>
      <c r="R50" s="243">
        <v>0</v>
      </c>
      <c r="S50" s="243">
        <v>0</v>
      </c>
      <c r="T50" s="243">
        <v>0</v>
      </c>
      <c r="U50" s="243">
        <v>0</v>
      </c>
      <c r="V50" s="243">
        <v>0</v>
      </c>
      <c r="W50" s="243">
        <v>0</v>
      </c>
      <c r="X50" s="243">
        <v>0</v>
      </c>
      <c r="Y50" s="77">
        <f t="shared" si="13"/>
        <v>0</v>
      </c>
    </row>
    <row r="51" spans="2:25" x14ac:dyDescent="0.25">
      <c r="B51" s="84"/>
      <c r="C51" s="23" t="s">
        <v>190</v>
      </c>
      <c r="D51" t="str">
        <f>INDEX(Unit_Rates!$C$7:$K$113,MATCH($C51,Unit_Rates!$C$7:$C$113,0),5)</f>
        <v>SCADA/Network control</v>
      </c>
      <c r="E51" t="str">
        <f>INDEX(Unit_Rates!$C$7:$K$113,MATCH($C51,Unit_Rates!$C$7:$C$113,0),6)</f>
        <v>Augmentation</v>
      </c>
      <c r="F51" t="str">
        <f t="shared" ref="F51" si="16">D51&amp;E51</f>
        <v>SCADA/Network controlAugmentation</v>
      </c>
      <c r="G51" s="170">
        <f>INDEX(Unit_Rates!$C$7:$K$113,MATCH($C51,Unit_Rates!$C$7:$C$113,0),7)</f>
        <v>6.2430939226519344</v>
      </c>
      <c r="H51" s="171"/>
      <c r="I51" s="123" t="s">
        <v>294</v>
      </c>
      <c r="J51" s="165"/>
      <c r="K51" s="149">
        <f>G51*H51</f>
        <v>0</v>
      </c>
      <c r="L51" s="149">
        <f t="shared" ref="L51" si="17">SUMPRODUCT(R$5:X$5,R51:X51)/Thousands</f>
        <v>0</v>
      </c>
      <c r="M51" s="151"/>
      <c r="N51" s="448"/>
      <c r="O51" s="448"/>
      <c r="P51" s="449"/>
      <c r="Q51" s="152">
        <f>P51-H51*VLOOKUP(C51,Unit_Rates!$C$58:$E$113,3,FALSE)</f>
        <v>0</v>
      </c>
      <c r="R51" s="243">
        <v>0</v>
      </c>
      <c r="S51" s="243">
        <v>0</v>
      </c>
      <c r="T51" s="243">
        <v>0</v>
      </c>
      <c r="U51" s="243">
        <v>0</v>
      </c>
      <c r="V51" s="243">
        <v>0</v>
      </c>
      <c r="W51" s="243">
        <v>0</v>
      </c>
      <c r="X51" s="243">
        <v>0</v>
      </c>
      <c r="Y51" s="77">
        <f t="shared" ref="Y51" si="18">SUM(R51:X51)</f>
        <v>0</v>
      </c>
    </row>
    <row r="52" spans="2:25" x14ac:dyDescent="0.25">
      <c r="B52" s="84"/>
      <c r="C52" s="23" t="s">
        <v>474</v>
      </c>
      <c r="D52" t="str">
        <f>INDEX(Unit_Rates!$C$7:$K$113,MATCH($C52,Unit_Rates!$C$7:$C$113,0),5)</f>
        <v>SCADA/Network control</v>
      </c>
      <c r="E52" t="str">
        <f>INDEX(Unit_Rates!$C$7:$K$113,MATCH($C52,Unit_Rates!$C$7:$C$113,0),6)</f>
        <v>Augmentation</v>
      </c>
      <c r="F52" t="str">
        <f t="shared" si="14"/>
        <v>SCADA/Network controlAugmentation</v>
      </c>
      <c r="G52" s="170">
        <f>INDEX(Unit_Rates!$C$7:$K$113,MATCH($C52,Unit_Rates!$C$7:$C$113,0),7)</f>
        <v>63.471406996986254</v>
      </c>
      <c r="H52" s="171">
        <v>1</v>
      </c>
      <c r="I52" s="123" t="s">
        <v>294</v>
      </c>
      <c r="J52" s="165"/>
      <c r="K52" s="149">
        <f>G52*H52</f>
        <v>63.471406996986254</v>
      </c>
      <c r="L52" s="149">
        <f t="shared" si="15"/>
        <v>0</v>
      </c>
      <c r="M52" s="151"/>
      <c r="N52" s="448"/>
      <c r="O52" s="448"/>
      <c r="P52" s="449"/>
      <c r="Q52" s="152">
        <f>P52-H52*VLOOKUP(C52,Unit_Rates!$C$58:$E$113,3,FALSE)</f>
        <v>0</v>
      </c>
      <c r="R52" s="243">
        <v>0</v>
      </c>
      <c r="S52" s="243">
        <v>0</v>
      </c>
      <c r="T52" s="243">
        <v>0</v>
      </c>
      <c r="U52" s="243">
        <v>0</v>
      </c>
      <c r="V52" s="243">
        <v>0</v>
      </c>
      <c r="W52" s="243">
        <v>0</v>
      </c>
      <c r="X52" s="243">
        <v>0</v>
      </c>
      <c r="Y52" s="77">
        <f t="shared" si="13"/>
        <v>0</v>
      </c>
    </row>
    <row r="53" spans="2:25" x14ac:dyDescent="0.25">
      <c r="B53" s="84"/>
      <c r="C53" s="23" t="s">
        <v>475</v>
      </c>
      <c r="D53" t="str">
        <f>INDEX(Unit_Rates!$C$7:$K$113,MATCH($C53,Unit_Rates!$C$7:$C$113,0),5)</f>
        <v>SCADA/Network control</v>
      </c>
      <c r="E53" t="str">
        <f>INDEX(Unit_Rates!$C$7:$K$113,MATCH($C53,Unit_Rates!$C$7:$C$113,0),6)</f>
        <v>Augmentation</v>
      </c>
      <c r="F53" t="str">
        <f t="shared" ref="F53" si="19">D53&amp;E53</f>
        <v>SCADA/Network controlAugmentation</v>
      </c>
      <c r="G53" s="170">
        <f>INDEX(Unit_Rates!$C$7:$K$113,MATCH($C53,Unit_Rates!$C$7:$C$113,0),7)</f>
        <v>47.41057649703847</v>
      </c>
      <c r="H53" s="171">
        <v>1</v>
      </c>
      <c r="I53" s="123" t="s">
        <v>294</v>
      </c>
      <c r="J53" s="165"/>
      <c r="K53" s="149">
        <f>G53*H53</f>
        <v>47.41057649703847</v>
      </c>
      <c r="L53" s="149">
        <f t="shared" ref="L53" si="20">SUMPRODUCT(R$5:X$5,R53:X53)/Thousands</f>
        <v>0</v>
      </c>
      <c r="M53" s="151"/>
      <c r="N53" s="448"/>
      <c r="O53" s="448"/>
      <c r="P53" s="449"/>
      <c r="Q53" s="152">
        <f>P53-H53*VLOOKUP(C53,Unit_Rates!$C$58:$E$113,3,FALSE)</f>
        <v>0</v>
      </c>
      <c r="R53" s="243">
        <v>0</v>
      </c>
      <c r="S53" s="243">
        <v>0</v>
      </c>
      <c r="T53" s="243">
        <v>0</v>
      </c>
      <c r="U53" s="243">
        <v>0</v>
      </c>
      <c r="V53" s="243">
        <v>0</v>
      </c>
      <c r="W53" s="243">
        <v>0</v>
      </c>
      <c r="X53" s="243">
        <v>0</v>
      </c>
      <c r="Y53" s="77">
        <f t="shared" ref="Y53" si="21">SUM(R53:X53)</f>
        <v>0</v>
      </c>
    </row>
    <row r="54" spans="2:25" x14ac:dyDescent="0.25">
      <c r="B54" s="84"/>
      <c r="C54" s="23" t="s">
        <v>192</v>
      </c>
      <c r="D54" t="str">
        <f>INDEX(Unit_Rates!$C$7:$K$113,MATCH($C54,Unit_Rates!$C$7:$C$113,0),5)</f>
        <v>SCADA/Network control</v>
      </c>
      <c r="E54" t="str">
        <f>INDEX(Unit_Rates!$C$7:$K$113,MATCH($C54,Unit_Rates!$C$7:$C$113,0),6)</f>
        <v>Augmentation</v>
      </c>
      <c r="F54" t="str">
        <f t="shared" si="14"/>
        <v>SCADA/Network controlAugmentation</v>
      </c>
      <c r="G54" s="170">
        <f>INDEX(Unit_Rates!$C$7:$K$113,MATCH($C54,Unit_Rates!$C$7:$C$113,0),7)</f>
        <v>8.6955893186003674</v>
      </c>
      <c r="H54" s="171"/>
      <c r="I54" s="123" t="s">
        <v>294</v>
      </c>
      <c r="J54" s="165"/>
      <c r="K54" s="149">
        <f t="shared" ref="K54:K56" si="22">G54*H54</f>
        <v>0</v>
      </c>
      <c r="L54" s="149">
        <f t="shared" si="15"/>
        <v>0</v>
      </c>
      <c r="M54" s="151"/>
      <c r="N54" s="448"/>
      <c r="O54" s="448"/>
      <c r="P54" s="449"/>
      <c r="Q54" s="152">
        <f>P54-H54*VLOOKUP(C54,Unit_Rates!$C$58:$E$113,3,FALSE)</f>
        <v>0</v>
      </c>
      <c r="R54" s="243">
        <v>0</v>
      </c>
      <c r="S54" s="243">
        <v>0</v>
      </c>
      <c r="T54" s="243">
        <v>0</v>
      </c>
      <c r="U54" s="243">
        <v>0</v>
      </c>
      <c r="V54" s="243">
        <v>0</v>
      </c>
      <c r="W54" s="243">
        <v>0</v>
      </c>
      <c r="X54" s="243">
        <v>0</v>
      </c>
      <c r="Y54" s="77">
        <f t="shared" si="13"/>
        <v>0</v>
      </c>
    </row>
    <row r="55" spans="2:25" x14ac:dyDescent="0.25">
      <c r="B55" s="84"/>
      <c r="C55" s="23" t="s">
        <v>193</v>
      </c>
      <c r="D55" t="str">
        <f>INDEX(Unit_Rates!$C$7:$K$113,MATCH($C55,Unit_Rates!$C$7:$C$113,0),5)</f>
        <v>SCADA/Network control</v>
      </c>
      <c r="E55" t="str">
        <f>INDEX(Unit_Rates!$C$7:$K$113,MATCH($C55,Unit_Rates!$C$7:$C$113,0),6)</f>
        <v>Augmentation</v>
      </c>
      <c r="F55" t="str">
        <f t="shared" si="14"/>
        <v>SCADA/Network controlAugmentation</v>
      </c>
      <c r="G55" s="170">
        <f>INDEX(Unit_Rates!$C$7:$K$113,MATCH($C55,Unit_Rates!$C$7:$C$113,0),7)</f>
        <v>98.007730202578273</v>
      </c>
      <c r="H55" s="171"/>
      <c r="I55" s="123" t="s">
        <v>294</v>
      </c>
      <c r="J55" s="165"/>
      <c r="K55" s="149">
        <f t="shared" si="22"/>
        <v>0</v>
      </c>
      <c r="L55" s="149">
        <f t="shared" si="15"/>
        <v>0</v>
      </c>
      <c r="M55" s="151"/>
      <c r="N55" s="448"/>
      <c r="O55" s="448"/>
      <c r="P55" s="449"/>
      <c r="Q55" s="152">
        <f>P55-H55*VLOOKUP(C55,Unit_Rates!$C$58:$E$113,3,FALSE)</f>
        <v>0</v>
      </c>
      <c r="R55" s="243">
        <v>0</v>
      </c>
      <c r="S55" s="243">
        <v>0</v>
      </c>
      <c r="T55" s="243">
        <v>0</v>
      </c>
      <c r="U55" s="243">
        <v>0</v>
      </c>
      <c r="V55" s="243">
        <v>0</v>
      </c>
      <c r="W55" s="243">
        <v>0</v>
      </c>
      <c r="X55" s="243">
        <v>0</v>
      </c>
      <c r="Y55" s="77">
        <f t="shared" si="13"/>
        <v>0</v>
      </c>
    </row>
    <row r="56" spans="2:25" x14ac:dyDescent="0.25">
      <c r="B56" s="84"/>
      <c r="C56" s="23" t="s">
        <v>297</v>
      </c>
      <c r="D56" t="s">
        <v>2</v>
      </c>
      <c r="E56" t="s">
        <v>27</v>
      </c>
      <c r="F56" t="s">
        <v>31</v>
      </c>
      <c r="G56" s="184">
        <v>0</v>
      </c>
      <c r="H56" s="171"/>
      <c r="I56" s="123" t="s">
        <v>294</v>
      </c>
      <c r="J56" s="165"/>
      <c r="K56" s="149">
        <f t="shared" si="22"/>
        <v>0</v>
      </c>
      <c r="L56" s="149">
        <f t="shared" si="15"/>
        <v>0</v>
      </c>
      <c r="M56" s="151"/>
      <c r="N56" s="448"/>
      <c r="O56" s="451"/>
      <c r="P56" s="449"/>
      <c r="Q56" s="152"/>
      <c r="R56" s="238"/>
      <c r="S56" s="238"/>
      <c r="T56" s="238"/>
      <c r="U56" s="238"/>
      <c r="V56" s="238"/>
      <c r="W56" s="238"/>
      <c r="X56" s="238"/>
      <c r="Y56" s="77">
        <f t="shared" si="13"/>
        <v>0</v>
      </c>
    </row>
    <row r="57" spans="2:25" x14ac:dyDescent="0.25">
      <c r="B57" s="84"/>
      <c r="C57" s="23" t="s">
        <v>205</v>
      </c>
      <c r="D57" t="str">
        <f>INDEX(Unit_Rates!$C$7:$K$113,MATCH($C57,Unit_Rates!$C$7:$C$113,0),5)</f>
        <v>SCADA/Network control</v>
      </c>
      <c r="E57" t="str">
        <f>INDEX(Unit_Rates!$C$7:$K$113,MATCH($C57,Unit_Rates!$C$7:$C$113,0),6)</f>
        <v>Augmentation</v>
      </c>
      <c r="F57" t="str">
        <f t="shared" ref="F57" si="23">D57&amp;E57</f>
        <v>SCADA/Network controlAugmentation</v>
      </c>
      <c r="G57" s="170">
        <f>INDEX(Unit_Rates!$C$7:$K$113,MATCH($C57,Unit_Rates!$C$7:$C$113,0),7)</f>
        <v>92.239631675874776</v>
      </c>
      <c r="H57" s="171">
        <v>1</v>
      </c>
      <c r="I57" s="123" t="s">
        <v>294</v>
      </c>
      <c r="J57" s="165"/>
      <c r="K57" s="149">
        <f t="shared" ref="K57" si="24">G57*H57</f>
        <v>92.239631675874776</v>
      </c>
      <c r="L57" s="149">
        <f t="shared" ref="L57" si="25">SUMPRODUCT(R$5:X$5,R57:X57)/Thousands</f>
        <v>0</v>
      </c>
      <c r="M57" s="151"/>
      <c r="N57" s="448"/>
      <c r="O57" s="448"/>
      <c r="P57" s="449"/>
      <c r="Q57" s="152">
        <f>P57-H57*VLOOKUP(C57,Unit_Rates!$C$58:$E$113,3,FALSE)</f>
        <v>0</v>
      </c>
      <c r="R57" s="243">
        <v>0</v>
      </c>
      <c r="S57" s="243">
        <v>0</v>
      </c>
      <c r="T57" s="243">
        <v>0</v>
      </c>
      <c r="U57" s="243">
        <v>0</v>
      </c>
      <c r="V57" s="243">
        <v>0</v>
      </c>
      <c r="W57" s="243">
        <v>0</v>
      </c>
      <c r="X57" s="243">
        <v>0</v>
      </c>
      <c r="Y57" s="77">
        <f t="shared" ref="Y57" si="26">SUM(R57:X57)</f>
        <v>0</v>
      </c>
    </row>
    <row r="58" spans="2:25" x14ac:dyDescent="0.25">
      <c r="B58" s="84"/>
      <c r="C58" s="23" t="s">
        <v>298</v>
      </c>
      <c r="D58" t="s">
        <v>2</v>
      </c>
      <c r="E58" t="s">
        <v>27</v>
      </c>
      <c r="F58" t="str">
        <f t="shared" si="14"/>
        <v>SCADA/Network controlAugmentation</v>
      </c>
      <c r="G58" s="184">
        <v>0</v>
      </c>
      <c r="H58" s="171"/>
      <c r="I58" s="123" t="s">
        <v>294</v>
      </c>
      <c r="J58" s="165"/>
      <c r="K58" s="149">
        <f>G58*H58</f>
        <v>0</v>
      </c>
      <c r="L58" s="149">
        <f t="shared" si="15"/>
        <v>0</v>
      </c>
      <c r="M58" s="151"/>
      <c r="N58" s="448"/>
      <c r="O58" s="451"/>
      <c r="P58" s="449"/>
      <c r="Q58" s="152"/>
      <c r="R58" s="243">
        <v>0</v>
      </c>
      <c r="S58" s="243">
        <v>0</v>
      </c>
      <c r="T58" s="243">
        <v>0</v>
      </c>
      <c r="U58" s="243">
        <v>0</v>
      </c>
      <c r="V58" s="243">
        <v>0</v>
      </c>
      <c r="W58" s="243">
        <v>0</v>
      </c>
      <c r="X58" s="243">
        <v>0</v>
      </c>
    </row>
    <row r="59" spans="2:25" x14ac:dyDescent="0.25">
      <c r="B59" s="120" t="s">
        <v>299</v>
      </c>
      <c r="C59" s="23"/>
      <c r="D59" t="s">
        <v>3</v>
      </c>
      <c r="E59" t="s">
        <v>27</v>
      </c>
      <c r="F59" t="str">
        <f t="shared" si="14"/>
        <v>SubtransmissionAugmentation</v>
      </c>
      <c r="G59" s="185">
        <v>22.8982201635</v>
      </c>
      <c r="H59" s="171">
        <v>4</v>
      </c>
      <c r="I59" s="123" t="s">
        <v>294</v>
      </c>
      <c r="J59" s="165"/>
      <c r="K59" s="149">
        <f>G59*H59</f>
        <v>91.592880653999998</v>
      </c>
      <c r="L59" s="149">
        <f t="shared" si="15"/>
        <v>0</v>
      </c>
      <c r="M59" s="151"/>
      <c r="N59" s="448"/>
      <c r="O59" s="451"/>
      <c r="P59" s="449"/>
      <c r="Q59" s="152"/>
      <c r="R59" s="243">
        <v>0</v>
      </c>
      <c r="S59" s="243">
        <v>0</v>
      </c>
      <c r="T59" s="243">
        <v>0</v>
      </c>
      <c r="U59" s="243">
        <v>0</v>
      </c>
      <c r="V59" s="243">
        <v>0</v>
      </c>
      <c r="W59" s="243">
        <v>0</v>
      </c>
      <c r="X59" s="243">
        <v>0</v>
      </c>
      <c r="Y59" s="77">
        <f t="shared" ref="Y59:Y66" si="27">SUM(R59:X59)</f>
        <v>0</v>
      </c>
    </row>
    <row r="60" spans="2:25" x14ac:dyDescent="0.25">
      <c r="B60" s="120" t="s">
        <v>346</v>
      </c>
      <c r="C60" s="23"/>
      <c r="D60" t="s">
        <v>3</v>
      </c>
      <c r="E60" t="s">
        <v>27</v>
      </c>
      <c r="F60" t="str">
        <f t="shared" ref="F60" si="28">D60&amp;E60</f>
        <v>SubtransmissionAugmentation</v>
      </c>
      <c r="G60" s="185">
        <v>15</v>
      </c>
      <c r="H60" s="171">
        <v>3</v>
      </c>
      <c r="I60" s="123" t="s">
        <v>294</v>
      </c>
      <c r="J60" s="165"/>
      <c r="K60" s="149">
        <f>G60*H60</f>
        <v>45</v>
      </c>
      <c r="L60" s="149">
        <f t="shared" ref="L60" si="29">SUMPRODUCT(R$5:X$5,R60:X60)/Thousands</f>
        <v>0</v>
      </c>
      <c r="M60" s="151"/>
      <c r="N60" s="448"/>
      <c r="O60" s="451"/>
      <c r="P60" s="449"/>
      <c r="Q60" s="152"/>
      <c r="R60" s="243">
        <v>0</v>
      </c>
      <c r="S60" s="243">
        <v>0</v>
      </c>
      <c r="T60" s="243">
        <v>0</v>
      </c>
      <c r="U60" s="243">
        <v>0</v>
      </c>
      <c r="V60" s="243">
        <v>0</v>
      </c>
      <c r="W60" s="243">
        <v>0</v>
      </c>
      <c r="X60" s="243">
        <v>0</v>
      </c>
      <c r="Y60" s="77">
        <f t="shared" ref="Y60" si="30">SUM(R60:X60)</f>
        <v>0</v>
      </c>
    </row>
    <row r="61" spans="2:25" x14ac:dyDescent="0.25">
      <c r="B61" s="120" t="s">
        <v>300</v>
      </c>
      <c r="C61" s="23"/>
      <c r="G61" s="169"/>
      <c r="H61" s="186"/>
      <c r="I61" s="167"/>
      <c r="K61" s="149"/>
      <c r="L61" s="149"/>
      <c r="M61" s="181"/>
      <c r="N61" s="182"/>
      <c r="O61" s="181"/>
      <c r="P61" s="293"/>
      <c r="Q61" s="152"/>
      <c r="R61" s="243">
        <v>0</v>
      </c>
      <c r="S61" s="243">
        <v>0</v>
      </c>
      <c r="T61" s="243">
        <v>0</v>
      </c>
      <c r="U61" s="243">
        <v>0</v>
      </c>
      <c r="V61" s="243">
        <v>0</v>
      </c>
      <c r="W61" s="243">
        <v>0</v>
      </c>
      <c r="X61" s="243">
        <v>0</v>
      </c>
      <c r="Y61" s="77">
        <f t="shared" si="27"/>
        <v>0</v>
      </c>
    </row>
    <row r="62" spans="2:25" x14ac:dyDescent="0.25">
      <c r="B62" s="84"/>
      <c r="C62" s="23" t="s">
        <v>345</v>
      </c>
      <c r="D62" t="s">
        <v>3</v>
      </c>
      <c r="E62" t="s">
        <v>27</v>
      </c>
      <c r="F62" t="str">
        <f t="shared" ref="F62:F67" si="31">D62&amp;E62</f>
        <v>SubtransmissionAugmentation</v>
      </c>
      <c r="G62" s="185">
        <v>0</v>
      </c>
      <c r="H62" s="171"/>
      <c r="I62" s="123" t="s">
        <v>294</v>
      </c>
      <c r="K62" s="149">
        <f>G62*H62</f>
        <v>0</v>
      </c>
      <c r="L62" s="149">
        <f t="shared" ref="L62:L67" si="32">SUMPRODUCT(R$5:X$5,R62:X62)/Thousands</f>
        <v>0</v>
      </c>
      <c r="M62" s="151"/>
      <c r="N62" s="448"/>
      <c r="O62" s="451"/>
      <c r="P62" s="449"/>
      <c r="Q62" s="152"/>
      <c r="R62" s="243">
        <v>0</v>
      </c>
      <c r="S62" s="243">
        <v>0</v>
      </c>
      <c r="T62" s="243">
        <v>0</v>
      </c>
      <c r="U62" s="243">
        <v>0</v>
      </c>
      <c r="V62" s="243">
        <v>0</v>
      </c>
      <c r="W62" s="243">
        <v>0</v>
      </c>
      <c r="X62" s="243">
        <v>0</v>
      </c>
      <c r="Y62" s="77">
        <f t="shared" si="27"/>
        <v>0</v>
      </c>
    </row>
    <row r="63" spans="2:25" x14ac:dyDescent="0.25">
      <c r="B63" s="84"/>
      <c r="C63" s="23" t="s">
        <v>344</v>
      </c>
      <c r="D63" t="s">
        <v>3</v>
      </c>
      <c r="E63" t="s">
        <v>27</v>
      </c>
      <c r="F63" t="str">
        <f t="shared" ref="F63" si="33">D63&amp;E63</f>
        <v>SubtransmissionAugmentation</v>
      </c>
      <c r="G63" s="185">
        <v>0</v>
      </c>
      <c r="H63" s="171"/>
      <c r="I63" s="123" t="s">
        <v>294</v>
      </c>
      <c r="K63" s="149">
        <f>G63*H63</f>
        <v>0</v>
      </c>
      <c r="L63" s="149">
        <f t="shared" si="32"/>
        <v>0</v>
      </c>
      <c r="M63" s="151"/>
      <c r="N63" s="448"/>
      <c r="O63" s="451"/>
      <c r="P63" s="449"/>
      <c r="Q63" s="152"/>
      <c r="R63" s="243">
        <v>0</v>
      </c>
      <c r="S63" s="243">
        <v>0</v>
      </c>
      <c r="T63" s="243">
        <v>0</v>
      </c>
      <c r="U63" s="243">
        <v>0</v>
      </c>
      <c r="V63" s="243">
        <v>0</v>
      </c>
      <c r="W63" s="243">
        <v>0</v>
      </c>
      <c r="X63" s="243">
        <v>0</v>
      </c>
      <c r="Y63" s="77">
        <f t="shared" ref="Y63" si="34">SUM(R63:X63)</f>
        <v>0</v>
      </c>
    </row>
    <row r="64" spans="2:25" x14ac:dyDescent="0.25">
      <c r="B64" s="84"/>
      <c r="C64" s="23" t="s">
        <v>302</v>
      </c>
      <c r="D64" t="str">
        <f>Unit_Rates!G50</f>
        <v>Subtransmission</v>
      </c>
      <c r="E64" t="str">
        <f>Unit_Rates!H50</f>
        <v>Augmentation</v>
      </c>
      <c r="F64" t="str">
        <f t="shared" si="31"/>
        <v>SubtransmissionAugmentation</v>
      </c>
      <c r="G64" s="170">
        <f>Unit_Rates!$I$50</f>
        <v>131.39534883720927</v>
      </c>
      <c r="H64" s="171"/>
      <c r="I64" s="123" t="s">
        <v>294</v>
      </c>
      <c r="K64" s="149">
        <f>G64*H64</f>
        <v>0</v>
      </c>
      <c r="L64" s="149">
        <f t="shared" si="32"/>
        <v>0</v>
      </c>
      <c r="M64" s="151"/>
      <c r="N64" s="448"/>
      <c r="O64" s="448"/>
      <c r="P64" s="449"/>
      <c r="Q64" s="152">
        <f>P64-H64*VLOOKUP("Oil separator",Unit_Rates!$C$7:$E$51,3,FALSE)</f>
        <v>0</v>
      </c>
      <c r="R64" s="243">
        <v>0</v>
      </c>
      <c r="S64" s="243">
        <v>0</v>
      </c>
      <c r="T64" s="243">
        <v>0</v>
      </c>
      <c r="U64" s="243">
        <v>0</v>
      </c>
      <c r="V64" s="243">
        <v>0</v>
      </c>
      <c r="W64" s="243">
        <v>0</v>
      </c>
      <c r="X64" s="243">
        <v>0</v>
      </c>
      <c r="Y64" s="77">
        <f t="shared" si="27"/>
        <v>0</v>
      </c>
    </row>
    <row r="65" spans="1:37" x14ac:dyDescent="0.25">
      <c r="B65" s="84"/>
      <c r="C65" s="326" t="s">
        <v>303</v>
      </c>
      <c r="D65" t="s">
        <v>3</v>
      </c>
      <c r="E65" t="s">
        <v>27</v>
      </c>
      <c r="F65" t="str">
        <f t="shared" si="31"/>
        <v>SubtransmissionAugmentation</v>
      </c>
      <c r="G65" s="185">
        <v>0</v>
      </c>
      <c r="H65" s="171"/>
      <c r="I65" s="123" t="s">
        <v>294</v>
      </c>
      <c r="K65" s="149">
        <f>G65*H65</f>
        <v>0</v>
      </c>
      <c r="L65" s="149">
        <f t="shared" si="32"/>
        <v>0</v>
      </c>
      <c r="M65" s="151"/>
      <c r="N65" s="448"/>
      <c r="O65" s="451"/>
      <c r="P65" s="449"/>
      <c r="Q65" s="235"/>
      <c r="R65" s="153"/>
      <c r="S65" s="153"/>
      <c r="T65" s="153"/>
      <c r="U65" s="153"/>
      <c r="V65" s="153"/>
      <c r="W65" s="153"/>
      <c r="X65" s="153"/>
      <c r="Y65" s="77"/>
    </row>
    <row r="66" spans="1:37" x14ac:dyDescent="0.25">
      <c r="B66" s="120" t="s">
        <v>304</v>
      </c>
      <c r="C66" s="326"/>
      <c r="D66" t="s">
        <v>3</v>
      </c>
      <c r="E66" t="s">
        <v>27</v>
      </c>
      <c r="F66" t="str">
        <f t="shared" si="31"/>
        <v>SubtransmissionAugmentation</v>
      </c>
      <c r="G66" s="170">
        <v>0</v>
      </c>
      <c r="H66" s="171"/>
      <c r="I66" s="123" t="s">
        <v>294</v>
      </c>
      <c r="K66" s="149">
        <f>G66*H66</f>
        <v>0</v>
      </c>
      <c r="L66" s="166">
        <f t="shared" si="32"/>
        <v>0</v>
      </c>
      <c r="M66" s="188"/>
      <c r="N66" s="448"/>
      <c r="O66" s="446"/>
      <c r="P66" s="449"/>
      <c r="Q66" s="235"/>
      <c r="R66" s="243">
        <v>0</v>
      </c>
      <c r="S66" s="243">
        <v>0</v>
      </c>
      <c r="T66" s="243">
        <v>0</v>
      </c>
      <c r="U66" s="243">
        <v>0</v>
      </c>
      <c r="V66" s="243">
        <v>0</v>
      </c>
      <c r="W66" s="243">
        <v>0</v>
      </c>
      <c r="X66" s="243">
        <v>0</v>
      </c>
      <c r="Y66" s="77">
        <f t="shared" si="27"/>
        <v>0</v>
      </c>
    </row>
    <row r="67" spans="1:37" x14ac:dyDescent="0.25">
      <c r="B67" s="120" t="s">
        <v>305</v>
      </c>
      <c r="C67" s="23"/>
      <c r="D67" t="s">
        <v>4</v>
      </c>
      <c r="E67" t="s">
        <v>29</v>
      </c>
      <c r="F67" t="str">
        <f t="shared" si="31"/>
        <v>LandNon-Network</v>
      </c>
      <c r="G67" s="170">
        <v>0</v>
      </c>
      <c r="H67" s="190"/>
      <c r="I67" s="123" t="s">
        <v>294</v>
      </c>
      <c r="K67" s="166">
        <v>0</v>
      </c>
      <c r="L67" s="166">
        <f t="shared" si="32"/>
        <v>0</v>
      </c>
      <c r="M67" s="188"/>
      <c r="N67" s="448"/>
      <c r="O67" s="446"/>
      <c r="P67" s="449"/>
      <c r="Q67" s="235"/>
      <c r="R67" s="270"/>
      <c r="S67" s="270"/>
      <c r="T67" s="270"/>
      <c r="U67" s="270"/>
      <c r="V67" s="270"/>
      <c r="W67" s="270"/>
      <c r="X67" s="270"/>
      <c r="Y67" s="77"/>
    </row>
    <row r="68" spans="1:37" x14ac:dyDescent="0.25">
      <c r="B68" s="84"/>
      <c r="C68" s="23"/>
      <c r="G68" s="169"/>
      <c r="H68" s="84"/>
      <c r="I68" s="167"/>
      <c r="K68" s="191"/>
      <c r="L68" s="191"/>
      <c r="M68" s="192"/>
      <c r="N68" s="192"/>
      <c r="O68" s="192"/>
      <c r="P68" s="192"/>
    </row>
    <row r="69" spans="1:37" x14ac:dyDescent="0.25">
      <c r="B69" s="120" t="s">
        <v>440</v>
      </c>
      <c r="C69" s="23"/>
      <c r="G69" s="169"/>
      <c r="H69" s="84"/>
      <c r="I69" s="167"/>
      <c r="K69" s="193">
        <v>2885.2842958764122</v>
      </c>
      <c r="L69" s="193">
        <v>684.98163033381854</v>
      </c>
      <c r="M69" s="194">
        <v>800</v>
      </c>
      <c r="N69" s="194">
        <v>2543.4809052874912</v>
      </c>
      <c r="O69" s="194">
        <v>94.207880950168118</v>
      </c>
      <c r="P69" s="194">
        <v>7007.9547124478895</v>
      </c>
      <c r="Q69" s="406"/>
    </row>
    <row r="70" spans="1:37" x14ac:dyDescent="0.25">
      <c r="B70" s="195" t="s">
        <v>307</v>
      </c>
      <c r="C70" s="327"/>
      <c r="D70" s="102"/>
      <c r="E70" s="102"/>
      <c r="F70" s="102"/>
      <c r="G70" s="196"/>
      <c r="H70" s="195"/>
      <c r="I70" s="196"/>
      <c r="J70" s="102"/>
      <c r="K70" s="197"/>
      <c r="L70" s="198"/>
      <c r="M70" s="198"/>
      <c r="N70" s="198"/>
      <c r="O70" s="198"/>
      <c r="P70" s="199"/>
    </row>
    <row r="71" spans="1:37" ht="30" x14ac:dyDescent="0.25">
      <c r="B71" s="143" t="s">
        <v>308</v>
      </c>
      <c r="C71" s="324"/>
      <c r="D71" s="117"/>
      <c r="E71" s="117"/>
      <c r="F71" s="117"/>
      <c r="G71" s="200" t="s">
        <v>309</v>
      </c>
      <c r="H71" s="201" t="s">
        <v>279</v>
      </c>
      <c r="I71" s="67" t="s">
        <v>280</v>
      </c>
      <c r="J71" s="102"/>
      <c r="K71" s="67" t="s">
        <v>21</v>
      </c>
      <c r="L71" s="67" t="s">
        <v>22</v>
      </c>
      <c r="M71" s="200" t="s">
        <v>23</v>
      </c>
      <c r="N71" s="200" t="s">
        <v>24</v>
      </c>
      <c r="O71" s="67" t="s">
        <v>25</v>
      </c>
      <c r="P71" s="67" t="s">
        <v>26</v>
      </c>
    </row>
    <row r="72" spans="1:37" x14ac:dyDescent="0.25">
      <c r="B72" s="120"/>
      <c r="C72" s="23"/>
      <c r="G72" s="167"/>
      <c r="H72" s="84"/>
      <c r="I72" s="167"/>
      <c r="K72" s="203"/>
      <c r="L72" s="203"/>
      <c r="M72" s="203"/>
      <c r="N72" s="203"/>
      <c r="O72" s="203"/>
      <c r="P72" s="167"/>
    </row>
    <row r="73" spans="1:37" x14ac:dyDescent="0.25">
      <c r="B73" s="312" t="s">
        <v>444</v>
      </c>
      <c r="C73" s="23"/>
      <c r="G73" s="167"/>
      <c r="H73" s="84"/>
      <c r="I73" s="167"/>
      <c r="K73" s="203"/>
      <c r="L73" s="203"/>
      <c r="M73" s="203"/>
      <c r="N73" s="203"/>
      <c r="O73" s="203"/>
      <c r="P73" s="167"/>
      <c r="Y73" s="77"/>
      <c r="AK73" s="349"/>
    </row>
    <row r="74" spans="1:37" x14ac:dyDescent="0.25">
      <c r="B74" s="333" t="s">
        <v>458</v>
      </c>
      <c r="C74" s="23"/>
      <c r="G74" s="167"/>
      <c r="H74" s="84"/>
      <c r="I74" s="167"/>
      <c r="K74" s="203"/>
      <c r="L74" s="203"/>
      <c r="M74" s="203"/>
      <c r="N74" s="203"/>
      <c r="O74" s="203"/>
      <c r="P74" s="167"/>
      <c r="Y74" s="77"/>
      <c r="AK74" s="349"/>
    </row>
    <row r="75" spans="1:37" x14ac:dyDescent="0.25">
      <c r="B75" s="315"/>
      <c r="C75" s="305" t="s">
        <v>445</v>
      </c>
      <c r="D75" s="23" t="str">
        <f>INDEX(Unit_Rates!$C$7:$K$113,MATCH($C75,Unit_Rates!$C$7:$C$113,0),5)</f>
        <v>Distribution system assets</v>
      </c>
      <c r="E75" s="23" t="str">
        <f>INDEX(Unit_Rates!$C$7:$K$113,MATCH($C75,Unit_Rates!$C$7:$C$113,0),6)</f>
        <v>Augmentation</v>
      </c>
      <c r="F75" s="23" t="str">
        <f t="shared" ref="F75:F77" si="35">D75&amp;E75</f>
        <v>Distribution system assetsAugmentation</v>
      </c>
      <c r="G75" s="170">
        <f>INDEX(Unit_Rates!$C$7:$K$113,MATCH($C75,Unit_Rates!$C$7:$C$113,0),7)</f>
        <v>6.4197386759582073E-2</v>
      </c>
      <c r="H75" s="350">
        <v>200</v>
      </c>
      <c r="I75" s="123" t="s">
        <v>295</v>
      </c>
      <c r="J75" s="108"/>
      <c r="K75" s="170">
        <f>G75*H75</f>
        <v>12.839477351916415</v>
      </c>
      <c r="L75" s="170">
        <f t="shared" ref="L75:L77" si="36">SUMPRODUCT(R$5:X$5,R75:X75)/Thousands</f>
        <v>0</v>
      </c>
      <c r="M75" s="170"/>
      <c r="N75" s="446"/>
      <c r="O75" s="446"/>
      <c r="P75" s="446"/>
      <c r="Q75" s="314">
        <f>P75-H75*VLOOKUP(C75,Unit_Rates!$C$7:$E$113,3,FALSE)</f>
        <v>0</v>
      </c>
      <c r="R75" s="134">
        <v>0</v>
      </c>
      <c r="S75" s="134">
        <v>0</v>
      </c>
      <c r="T75" s="134">
        <v>0</v>
      </c>
      <c r="U75" s="134">
        <v>0</v>
      </c>
      <c r="V75" s="134">
        <v>0</v>
      </c>
      <c r="W75" s="134">
        <v>0</v>
      </c>
      <c r="X75" s="134">
        <v>0</v>
      </c>
      <c r="Y75" s="304">
        <f t="shared" ref="Y75:Y77" si="37">SUM(R75:X75)</f>
        <v>0</v>
      </c>
      <c r="Z75" s="6"/>
      <c r="AA75" s="6"/>
      <c r="AB75" s="6"/>
      <c r="AC75" s="6"/>
      <c r="AD75" s="6"/>
      <c r="AE75" s="6"/>
      <c r="AF75" s="6"/>
      <c r="AG75" s="8"/>
      <c r="AI75" s="96"/>
      <c r="AK75" s="349"/>
    </row>
    <row r="76" spans="1:37" x14ac:dyDescent="0.25">
      <c r="B76" s="315"/>
      <c r="C76" s="23" t="s">
        <v>229</v>
      </c>
      <c r="D76" s="23" t="str">
        <f>Unit_Rates!G$129</f>
        <v>Distribution system assets</v>
      </c>
      <c r="E76" s="23" t="str">
        <f>Unit_Rates!H$129</f>
        <v>Augmentation</v>
      </c>
      <c r="F76" s="23" t="str">
        <f t="shared" si="35"/>
        <v>Distribution system assetsAugmentation</v>
      </c>
      <c r="G76" s="170">
        <f>Unit_Rates!I$129</f>
        <v>22.603922249219018</v>
      </c>
      <c r="H76" s="350">
        <v>1</v>
      </c>
      <c r="I76" s="308" t="s">
        <v>294</v>
      </c>
      <c r="J76" s="108"/>
      <c r="K76" s="170">
        <f t="shared" ref="K76" si="38">G76*H76</f>
        <v>22.603922249219018</v>
      </c>
      <c r="L76" s="170">
        <f t="shared" si="36"/>
        <v>20.350826596208066</v>
      </c>
      <c r="M76" s="170">
        <f>$H76*Unit_Rates!K$129</f>
        <v>4.7858004636387212</v>
      </c>
      <c r="N76" s="446"/>
      <c r="O76" s="446"/>
      <c r="P76" s="446"/>
      <c r="Q76" s="314">
        <f>P76-H76*VLOOKUP(C76,Unit_Rates!$C$7:$E$132,3,FALSE)</f>
        <v>-80.368821395059754</v>
      </c>
      <c r="R76" s="134">
        <f>$H76*Z76*Unit_Rates!$J$129*1000/R$5</f>
        <v>37.968099818316183</v>
      </c>
      <c r="S76" s="134">
        <f>$H76*AA76*Unit_Rates!$J$129*1000/S$5</f>
        <v>43.504015979090326</v>
      </c>
      <c r="T76" s="134">
        <f>$H76*AB76*Unit_Rates!$J$129*1000/T$5</f>
        <v>42.96124778462822</v>
      </c>
      <c r="U76" s="134">
        <v>0</v>
      </c>
      <c r="V76" s="134">
        <v>0</v>
      </c>
      <c r="W76" s="134">
        <v>0</v>
      </c>
      <c r="X76" s="134">
        <v>0</v>
      </c>
      <c r="Y76" s="304">
        <f t="shared" si="37"/>
        <v>124.43336358203473</v>
      </c>
      <c r="Z76" s="6">
        <v>0.30314923274650007</v>
      </c>
      <c r="AA76" s="6">
        <v>0.32449777026385923</v>
      </c>
      <c r="AB76" s="407">
        <v>0.37235299698964058</v>
      </c>
      <c r="AC76" s="6"/>
      <c r="AD76" s="6"/>
      <c r="AE76" s="6"/>
      <c r="AF76" s="6"/>
      <c r="AG76" s="8"/>
      <c r="AI76" s="96"/>
      <c r="AK76" s="349"/>
    </row>
    <row r="77" spans="1:37" x14ac:dyDescent="0.25">
      <c r="A77" s="23"/>
      <c r="B77" s="315"/>
      <c r="C77" s="328" t="s">
        <v>386</v>
      </c>
      <c r="D77" s="23" t="str">
        <f>INDEX(Unit_Rates!$C$7:$K$113,MATCH($C77,Unit_Rates!$C$7:$C$113,0),5)</f>
        <v>Distribution system assets</v>
      </c>
      <c r="E77" s="23" t="str">
        <f>INDEX(Unit_Rates!$C$7:$K$113,MATCH($C77,Unit_Rates!$C$7:$C$113,0),6)</f>
        <v>Augmentation</v>
      </c>
      <c r="F77" s="23" t="str">
        <f t="shared" si="35"/>
        <v>Distribution system assetsAugmentation</v>
      </c>
      <c r="G77" s="170">
        <f>INDEX(Unit_Rates!$C$7:$K$113,MATCH($C77,Unit_Rates!$C$7:$C$113,0),7)</f>
        <v>6.06</v>
      </c>
      <c r="H77" s="350">
        <v>2</v>
      </c>
      <c r="I77" s="308" t="s">
        <v>294</v>
      </c>
      <c r="J77" s="108"/>
      <c r="K77" s="170">
        <f t="shared" ref="K77" si="39">G77*H77</f>
        <v>12.12</v>
      </c>
      <c r="L77" s="170">
        <f t="shared" si="36"/>
        <v>0</v>
      </c>
      <c r="M77" s="170"/>
      <c r="N77" s="446"/>
      <c r="O77" s="446"/>
      <c r="P77" s="456"/>
      <c r="Q77" s="314">
        <f>P77-H77*VLOOKUP(C77,Unit_Rates!$C$7:$E$113,3,FALSE)</f>
        <v>0</v>
      </c>
      <c r="R77" s="134">
        <v>0</v>
      </c>
      <c r="S77" s="134">
        <v>0</v>
      </c>
      <c r="T77" s="134">
        <v>0</v>
      </c>
      <c r="U77" s="134">
        <v>0</v>
      </c>
      <c r="V77" s="134">
        <v>0</v>
      </c>
      <c r="W77" s="134">
        <v>0</v>
      </c>
      <c r="X77" s="134">
        <v>0</v>
      </c>
      <c r="Y77" s="304">
        <f t="shared" si="37"/>
        <v>0</v>
      </c>
      <c r="Z77" s="6"/>
      <c r="AA77" s="6"/>
      <c r="AB77" s="6"/>
      <c r="AC77" s="6"/>
      <c r="AD77" s="6"/>
      <c r="AE77" s="6"/>
      <c r="AF77" s="6"/>
      <c r="AG77" s="8"/>
      <c r="AI77" s="96"/>
    </row>
    <row r="78" spans="1:37" x14ac:dyDescent="0.25">
      <c r="A78" s="23"/>
      <c r="B78" s="315"/>
      <c r="C78" s="328" t="s">
        <v>459</v>
      </c>
      <c r="D78" s="23" t="str">
        <f>INDEX(Unit_Rates!$C$7:$K$113,MATCH($C78,Unit_Rates!$C$7:$C$113,0),5)</f>
        <v>Distribution system assets</v>
      </c>
      <c r="E78" s="23" t="str">
        <f>INDEX(Unit_Rates!$C$7:$K$113,MATCH($C78,Unit_Rates!$C$7:$C$113,0),6)</f>
        <v>Augmentation</v>
      </c>
      <c r="F78" s="23" t="str">
        <f t="shared" ref="F78" si="40">D78&amp;E78</f>
        <v>Distribution system assetsAugmentation</v>
      </c>
      <c r="G78" s="170">
        <f>INDEX(Unit_Rates!$C$7:$K$113,MATCH($C78,Unit_Rates!$C$7:$C$113,0),7)</f>
        <v>3.1911672473867689</v>
      </c>
      <c r="H78" s="350">
        <v>2</v>
      </c>
      <c r="I78" s="308" t="s">
        <v>294</v>
      </c>
      <c r="J78" s="108"/>
      <c r="K78" s="211">
        <f t="shared" ref="K78" si="41">G78*H78</f>
        <v>6.3823344947735379</v>
      </c>
      <c r="L78" s="211">
        <f t="shared" ref="L78" si="42">SUMPRODUCT(R$5:X$5,R78:X78)/Thousands</f>
        <v>0</v>
      </c>
      <c r="M78" s="211"/>
      <c r="N78" s="447"/>
      <c r="O78" s="447"/>
      <c r="P78" s="457"/>
      <c r="Q78" s="314">
        <f>P78-H78*VLOOKUP(C78,Unit_Rates!$C$7:$E$113,3,FALSE)</f>
        <v>0</v>
      </c>
      <c r="R78" s="134">
        <v>0</v>
      </c>
      <c r="S78" s="134">
        <v>0</v>
      </c>
      <c r="T78" s="134">
        <v>0</v>
      </c>
      <c r="U78" s="134">
        <v>0</v>
      </c>
      <c r="V78" s="134">
        <v>0</v>
      </c>
      <c r="W78" s="134">
        <v>0</v>
      </c>
      <c r="X78" s="134">
        <v>0</v>
      </c>
      <c r="Y78" s="304">
        <f t="shared" ref="Y78" si="43">SUM(R78:X78)</f>
        <v>0</v>
      </c>
      <c r="Z78" s="6"/>
      <c r="AA78" s="6"/>
      <c r="AB78" s="6"/>
      <c r="AC78" s="6"/>
      <c r="AD78" s="6"/>
      <c r="AE78" s="6"/>
      <c r="AF78" s="6"/>
      <c r="AG78" s="8"/>
      <c r="AI78" s="96"/>
    </row>
    <row r="79" spans="1:37" x14ac:dyDescent="0.25">
      <c r="B79" s="120"/>
      <c r="C79" s="23" t="s">
        <v>460</v>
      </c>
      <c r="G79" s="212"/>
      <c r="H79" s="122"/>
      <c r="I79" s="167"/>
      <c r="K79" s="212">
        <v>53.945734095908968</v>
      </c>
      <c r="L79" s="212">
        <v>20.350826596208066</v>
      </c>
      <c r="M79" s="212">
        <v>4.7858004636387212</v>
      </c>
      <c r="N79" s="212">
        <v>176.54294179323034</v>
      </c>
      <c r="O79" s="212">
        <v>7.2533343774603987</v>
      </c>
      <c r="P79" s="212">
        <v>262.87863732644655</v>
      </c>
      <c r="Q79" s="22"/>
      <c r="R79" s="238"/>
      <c r="S79" s="238"/>
      <c r="T79" s="238"/>
      <c r="U79" s="238"/>
      <c r="V79" s="238"/>
      <c r="W79" s="238"/>
      <c r="X79" s="238"/>
      <c r="AI79" s="97"/>
    </row>
    <row r="80" spans="1:37" x14ac:dyDescent="0.25">
      <c r="B80" s="120"/>
      <c r="C80" s="23"/>
      <c r="G80" s="212"/>
      <c r="H80" s="122"/>
      <c r="I80" s="167"/>
      <c r="K80" s="212"/>
      <c r="L80" s="212"/>
      <c r="M80" s="212"/>
      <c r="N80" s="212"/>
      <c r="O80" s="212"/>
      <c r="P80" s="212"/>
      <c r="Q80" s="22"/>
      <c r="R80" s="238"/>
      <c r="S80" s="238"/>
      <c r="T80" s="238"/>
      <c r="U80" s="238"/>
      <c r="V80" s="238"/>
      <c r="W80" s="238"/>
      <c r="X80" s="238"/>
      <c r="AI80" s="97"/>
    </row>
    <row r="81" spans="2:37" x14ac:dyDescent="0.25">
      <c r="B81" s="120" t="s">
        <v>448</v>
      </c>
      <c r="C81" s="23"/>
      <c r="G81" s="166"/>
      <c r="H81" s="122"/>
      <c r="I81" s="167"/>
      <c r="K81" s="212"/>
      <c r="L81" s="212"/>
      <c r="M81" s="212"/>
      <c r="N81" s="212"/>
      <c r="O81" s="212"/>
      <c r="P81" s="212"/>
      <c r="R81" s="238"/>
      <c r="S81" s="238"/>
      <c r="T81" s="238"/>
      <c r="U81" s="238"/>
      <c r="V81" s="238"/>
      <c r="W81" s="238"/>
      <c r="X81" s="238"/>
      <c r="Y81" s="77"/>
      <c r="AI81" s="97"/>
      <c r="AK81" s="349"/>
    </row>
    <row r="82" spans="2:37" x14ac:dyDescent="0.25">
      <c r="B82" s="335" t="s">
        <v>461</v>
      </c>
      <c r="C82" s="23"/>
      <c r="G82" s="166"/>
      <c r="H82" s="122"/>
      <c r="I82" s="167"/>
      <c r="K82" s="212"/>
      <c r="L82" s="212"/>
      <c r="M82" s="212"/>
      <c r="N82" s="212"/>
      <c r="O82" s="212"/>
      <c r="P82" s="212"/>
      <c r="R82" s="238"/>
      <c r="S82" s="238"/>
      <c r="T82" s="238"/>
      <c r="U82" s="238"/>
      <c r="V82" s="238"/>
      <c r="W82" s="238"/>
      <c r="X82" s="238"/>
      <c r="Y82" s="77"/>
      <c r="AI82" s="97"/>
      <c r="AK82" s="349"/>
    </row>
    <row r="83" spans="2:37" x14ac:dyDescent="0.25">
      <c r="B83" s="120"/>
      <c r="C83" s="328" t="s">
        <v>477</v>
      </c>
      <c r="D83" s="23" t="str">
        <f>INDEX(Unit_Rates!$C$7:$K$113,MATCH($C83,Unit_Rates!$C$7:$C$113,0),5)</f>
        <v>Distribution system assets</v>
      </c>
      <c r="E83" s="23" t="str">
        <f>INDEX(Unit_Rates!$C$7:$K$113,MATCH($C83,Unit_Rates!$C$7:$C$113,0),6)</f>
        <v>Replacement</v>
      </c>
      <c r="F83" s="23" t="str">
        <f t="shared" ref="F83:F90" si="44">D83&amp;E83</f>
        <v>Distribution system assetsReplacement</v>
      </c>
      <c r="G83" s="170">
        <f>INDEX(Unit_Rates!$C$7:$K$113,MATCH($C83,Unit_Rates!$C$7:$C$113,0),7)</f>
        <v>6.06</v>
      </c>
      <c r="H83" s="350">
        <v>4</v>
      </c>
      <c r="I83" s="308" t="s">
        <v>294</v>
      </c>
      <c r="J83" s="108"/>
      <c r="K83" s="170">
        <f t="shared" ref="K83:K90" si="45">G83*H83</f>
        <v>24.24</v>
      </c>
      <c r="L83" s="170">
        <f t="shared" ref="L83:L87" si="46">SUMPRODUCT(R$5:X$5,R83:X83)/Thousands</f>
        <v>0</v>
      </c>
      <c r="M83" s="170"/>
      <c r="N83" s="446"/>
      <c r="O83" s="446"/>
      <c r="P83" s="446"/>
      <c r="Q83" s="314">
        <f>P83-H83*VLOOKUP(C83,Unit_Rates!$C$7:$E$113,3,FALSE)</f>
        <v>0</v>
      </c>
      <c r="R83" s="134">
        <v>0</v>
      </c>
      <c r="S83" s="134">
        <v>0</v>
      </c>
      <c r="T83" s="134">
        <v>0</v>
      </c>
      <c r="U83" s="134">
        <v>0</v>
      </c>
      <c r="V83" s="134">
        <v>0</v>
      </c>
      <c r="W83" s="134">
        <v>0</v>
      </c>
      <c r="X83" s="134">
        <v>0</v>
      </c>
      <c r="Y83" s="304">
        <f t="shared" ref="Y83:Y90" si="47">SUM(R83:X83)</f>
        <v>0</v>
      </c>
      <c r="Z83" s="6"/>
      <c r="AA83" s="6"/>
      <c r="AB83" s="6"/>
      <c r="AC83" s="6"/>
      <c r="AD83" s="6"/>
      <c r="AE83" s="6"/>
      <c r="AF83" s="6"/>
      <c r="AG83" s="8"/>
      <c r="AI83" s="97"/>
      <c r="AK83" s="349"/>
    </row>
    <row r="84" spans="2:37" x14ac:dyDescent="0.25">
      <c r="B84" s="120"/>
      <c r="C84" s="328" t="s">
        <v>386</v>
      </c>
      <c r="D84" s="23" t="str">
        <f>INDEX(Unit_Rates!$C$7:$K$113,MATCH($C84,Unit_Rates!$C$7:$C$113,0),5)</f>
        <v>Distribution system assets</v>
      </c>
      <c r="E84" s="23" t="str">
        <f>INDEX(Unit_Rates!$C$7:$K$113,MATCH($C84,Unit_Rates!$C$7:$C$113,0),6)</f>
        <v>Augmentation</v>
      </c>
      <c r="F84" s="23" t="str">
        <f t="shared" ref="F84" si="48">D84&amp;E84</f>
        <v>Distribution system assetsAugmentation</v>
      </c>
      <c r="G84" s="170">
        <f>INDEX(Unit_Rates!$C$7:$K$113,MATCH($C84,Unit_Rates!$C$7:$C$113,0),7)</f>
        <v>6.06</v>
      </c>
      <c r="H84" s="350">
        <v>1</v>
      </c>
      <c r="I84" s="308" t="s">
        <v>294</v>
      </c>
      <c r="J84" s="108"/>
      <c r="K84" s="170">
        <f t="shared" ref="K84" si="49">G84*H84</f>
        <v>6.06</v>
      </c>
      <c r="L84" s="170">
        <f t="shared" ref="L84" si="50">SUMPRODUCT(R$5:X$5,R84:X84)/Thousands</f>
        <v>0</v>
      </c>
      <c r="M84" s="170"/>
      <c r="N84" s="446"/>
      <c r="O84" s="446"/>
      <c r="P84" s="446"/>
      <c r="Q84" s="314">
        <f>P84-H84*VLOOKUP(C84,Unit_Rates!$C$7:$E$113,3,FALSE)</f>
        <v>0</v>
      </c>
      <c r="R84" s="134">
        <v>0</v>
      </c>
      <c r="S84" s="134">
        <v>0</v>
      </c>
      <c r="T84" s="134">
        <v>0</v>
      </c>
      <c r="U84" s="134">
        <v>0</v>
      </c>
      <c r="V84" s="134">
        <v>0</v>
      </c>
      <c r="W84" s="134">
        <v>0</v>
      </c>
      <c r="X84" s="134">
        <v>0</v>
      </c>
      <c r="Y84" s="304">
        <f t="shared" ref="Y84" si="51">SUM(R84:X84)</f>
        <v>0</v>
      </c>
      <c r="Z84" s="6"/>
      <c r="AA84" s="6"/>
      <c r="AB84" s="6"/>
      <c r="AC84" s="6"/>
      <c r="AD84" s="6"/>
      <c r="AE84" s="6"/>
      <c r="AF84" s="6"/>
      <c r="AG84" s="8"/>
      <c r="AI84" s="97"/>
      <c r="AK84" s="349"/>
    </row>
    <row r="85" spans="2:37" x14ac:dyDescent="0.25">
      <c r="B85" s="120"/>
      <c r="C85" s="328" t="s">
        <v>433</v>
      </c>
      <c r="D85" s="23" t="str">
        <f>INDEX(Unit_Rates!$C$7:$K$113,MATCH($C85,Unit_Rates!$C$7:$C$113,0),5)</f>
        <v>Subtransmission</v>
      </c>
      <c r="E85" s="23" t="str">
        <f>INDEX(Unit_Rates!$C$7:$K$113,MATCH($C85,Unit_Rates!$C$7:$C$113,0),6)</f>
        <v>Augmentation</v>
      </c>
      <c r="F85" s="23" t="str">
        <f t="shared" si="44"/>
        <v>SubtransmissionAugmentation</v>
      </c>
      <c r="G85" s="170">
        <f>INDEX(Unit_Rates!$C$7:$K$113,MATCH($C85,Unit_Rates!$C$7:$C$113,0),7)</f>
        <v>18.997386759581939</v>
      </c>
      <c r="H85" s="350">
        <v>3</v>
      </c>
      <c r="I85" s="308" t="s">
        <v>294</v>
      </c>
      <c r="J85" s="108"/>
      <c r="K85" s="170">
        <f t="shared" si="45"/>
        <v>56.992160278745814</v>
      </c>
      <c r="L85" s="170">
        <f t="shared" si="46"/>
        <v>0</v>
      </c>
      <c r="M85" s="170"/>
      <c r="N85" s="446"/>
      <c r="O85" s="446"/>
      <c r="P85" s="446"/>
      <c r="Q85" s="314">
        <f>P85-H85*VLOOKUP(C85,Unit_Rates!$C$7:$E$113,3,FALSE)</f>
        <v>0</v>
      </c>
      <c r="R85" s="134">
        <v>0</v>
      </c>
      <c r="S85" s="134">
        <v>0</v>
      </c>
      <c r="T85" s="134">
        <v>0</v>
      </c>
      <c r="U85" s="134">
        <v>0</v>
      </c>
      <c r="V85" s="134">
        <v>0</v>
      </c>
      <c r="W85" s="134">
        <v>0</v>
      </c>
      <c r="X85" s="134">
        <v>0</v>
      </c>
      <c r="Y85" s="304">
        <f t="shared" si="47"/>
        <v>0</v>
      </c>
      <c r="Z85" s="6"/>
      <c r="AA85" s="6"/>
      <c r="AB85" s="6"/>
      <c r="AC85" s="6"/>
      <c r="AD85" s="6"/>
      <c r="AE85" s="6"/>
      <c r="AF85" s="6"/>
      <c r="AG85" s="8"/>
      <c r="AI85" s="97"/>
      <c r="AK85" s="349"/>
    </row>
    <row r="86" spans="2:37" x14ac:dyDescent="0.25">
      <c r="B86" s="120"/>
      <c r="C86" s="328" t="s">
        <v>462</v>
      </c>
      <c r="D86" s="23" t="str">
        <f>INDEX(Unit_Rates!$C$7:$K$113,MATCH($C86,Unit_Rates!$C$7:$C$113,0),5)</f>
        <v>Subtransmission</v>
      </c>
      <c r="E86" s="23" t="str">
        <f>INDEX(Unit_Rates!$C$7:$K$113,MATCH($C86,Unit_Rates!$C$7:$C$113,0),6)</f>
        <v>Augmentation</v>
      </c>
      <c r="F86" s="23" t="str">
        <f t="shared" ref="F86" si="52">D86&amp;E86</f>
        <v>SubtransmissionAugmentation</v>
      </c>
      <c r="G86" s="170">
        <f>INDEX(Unit_Rates!$C$7:$K$113,MATCH($C86,Unit_Rates!$C$7:$C$113,0),7)</f>
        <v>80.025261324042049</v>
      </c>
      <c r="H86" s="350">
        <v>1</v>
      </c>
      <c r="I86" s="308" t="s">
        <v>294</v>
      </c>
      <c r="J86" s="108"/>
      <c r="K86" s="170">
        <f t="shared" ref="K86" si="53">G86*H86</f>
        <v>80.025261324042049</v>
      </c>
      <c r="L86" s="170">
        <f t="shared" ref="L86" si="54">SUMPRODUCT(R$5:X$5,R86:X86)/Thousands</f>
        <v>0</v>
      </c>
      <c r="M86" s="170"/>
      <c r="N86" s="446"/>
      <c r="O86" s="446"/>
      <c r="P86" s="446"/>
      <c r="Q86" s="314">
        <f>P86-H86*VLOOKUP(C86,Unit_Rates!$C$7:$E$113,3,FALSE)</f>
        <v>0</v>
      </c>
      <c r="R86" s="134">
        <v>0</v>
      </c>
      <c r="S86" s="134">
        <v>0</v>
      </c>
      <c r="T86" s="134">
        <v>0</v>
      </c>
      <c r="U86" s="134">
        <v>0</v>
      </c>
      <c r="V86" s="134">
        <v>0</v>
      </c>
      <c r="W86" s="134">
        <v>0</v>
      </c>
      <c r="X86" s="134">
        <v>0</v>
      </c>
      <c r="Y86" s="304">
        <f t="shared" ref="Y86" si="55">SUM(R86:X86)</f>
        <v>0</v>
      </c>
      <c r="Z86" s="6"/>
      <c r="AA86" s="6"/>
      <c r="AB86" s="6"/>
      <c r="AC86" s="6"/>
      <c r="AD86" s="6"/>
      <c r="AE86" s="6"/>
      <c r="AF86" s="6"/>
      <c r="AG86" s="8"/>
      <c r="AI86" s="97"/>
      <c r="AK86" s="349"/>
    </row>
    <row r="87" spans="2:37" x14ac:dyDescent="0.25">
      <c r="B87" s="120"/>
      <c r="C87" s="23" t="s">
        <v>229</v>
      </c>
      <c r="D87" s="23" t="str">
        <f>Unit_Rates!G$129</f>
        <v>Distribution system assets</v>
      </c>
      <c r="E87" s="23" t="str">
        <f>Unit_Rates!H$129</f>
        <v>Augmentation</v>
      </c>
      <c r="F87" s="23" t="str">
        <f t="shared" si="44"/>
        <v>Distribution system assetsAugmentation</v>
      </c>
      <c r="G87" s="170">
        <f>Unit_Rates!I$129</f>
        <v>22.603922249219018</v>
      </c>
      <c r="H87" s="350">
        <v>4</v>
      </c>
      <c r="I87" s="308" t="s">
        <v>294</v>
      </c>
      <c r="J87" s="108"/>
      <c r="K87" s="170">
        <f t="shared" si="45"/>
        <v>90.415688996876071</v>
      </c>
      <c r="L87" s="170">
        <f t="shared" si="46"/>
        <v>81.403306384832263</v>
      </c>
      <c r="M87" s="170">
        <f>$H87*Unit_Rates!K$129</f>
        <v>19.143201854554885</v>
      </c>
      <c r="N87" s="446"/>
      <c r="O87" s="446"/>
      <c r="P87" s="446"/>
      <c r="Q87" s="314">
        <f>P87-H87*VLOOKUP(C87,Unit_Rates!$C$7:$E$132,3,FALSE)</f>
        <v>-321.47528558023902</v>
      </c>
      <c r="R87" s="134">
        <f>$H87*Z87*Unit_Rates!$J$129*1000/R$5</f>
        <v>151.87239927326473</v>
      </c>
      <c r="S87" s="134">
        <f>$H87*AA87*Unit_Rates!$J$129*1000/S$5</f>
        <v>174.0160639163613</v>
      </c>
      <c r="T87" s="134">
        <f>$H87*AB87*Unit_Rates!$J$129*1000/T$5</f>
        <v>171.84499113851288</v>
      </c>
      <c r="U87" s="134">
        <v>0</v>
      </c>
      <c r="V87" s="134">
        <v>0</v>
      </c>
      <c r="W87" s="134">
        <v>0</v>
      </c>
      <c r="X87" s="134">
        <v>0</v>
      </c>
      <c r="Y87" s="304">
        <f t="shared" si="47"/>
        <v>497.73345432813892</v>
      </c>
      <c r="Z87" s="6">
        <v>0.30314923274650007</v>
      </c>
      <c r="AA87" s="6">
        <v>0.32449777026385923</v>
      </c>
      <c r="AB87" s="407">
        <v>0.37235299698964058</v>
      </c>
      <c r="AC87" s="6"/>
      <c r="AD87" s="6"/>
      <c r="AE87" s="6"/>
      <c r="AF87" s="6"/>
      <c r="AG87" s="8"/>
      <c r="AI87" s="97"/>
      <c r="AK87" s="349"/>
    </row>
    <row r="88" spans="2:37" ht="30" x14ac:dyDescent="0.25">
      <c r="B88" s="120"/>
      <c r="C88" s="434" t="s">
        <v>464</v>
      </c>
      <c r="D88" s="23" t="str">
        <f>INDEX(Unit_Rates!$C$7:$K$113,MATCH($C88,Unit_Rates!$C$7:$C$113,0),5)</f>
        <v>Distribution system assets</v>
      </c>
      <c r="E88" s="23" t="str">
        <f>INDEX(Unit_Rates!$C$7:$K$113,MATCH($C88,Unit_Rates!$C$7:$C$113,0),6)</f>
        <v>Replacement</v>
      </c>
      <c r="F88" s="23" t="str">
        <f t="shared" ref="F88:F89" si="56">D88&amp;E88</f>
        <v>Distribution system assetsReplacement</v>
      </c>
      <c r="G88" s="170">
        <f>INDEX(Unit_Rates!$C$7:$K$113,MATCH($C88,Unit_Rates!$C$7:$C$113,0),7)</f>
        <v>0</v>
      </c>
      <c r="H88" s="408">
        <v>1.835</v>
      </c>
      <c r="I88" s="308" t="s">
        <v>466</v>
      </c>
      <c r="J88" s="108"/>
      <c r="K88" s="170">
        <f t="shared" ref="K88:K89" si="57">G88*H88</f>
        <v>0</v>
      </c>
      <c r="L88" s="170">
        <f>SUMPRODUCT(R$5:X$5,R88:X88)/Thousands</f>
        <v>0</v>
      </c>
      <c r="M88" s="170"/>
      <c r="N88" s="446"/>
      <c r="O88" s="446"/>
      <c r="P88" s="446"/>
      <c r="Q88" s="314">
        <f>P88-H88*VLOOKUP(C88,Unit_Rates!$C$7:$E$113,3,FALSE)</f>
        <v>0</v>
      </c>
      <c r="R88" s="134">
        <v>0</v>
      </c>
      <c r="S88" s="134">
        <v>0</v>
      </c>
      <c r="T88" s="134">
        <v>0</v>
      </c>
      <c r="U88" s="134">
        <v>0</v>
      </c>
      <c r="V88" s="134">
        <v>0</v>
      </c>
      <c r="W88" s="134">
        <v>0</v>
      </c>
      <c r="X88" s="134">
        <v>0</v>
      </c>
      <c r="Y88" s="304">
        <f t="shared" ref="Y88:Y89" si="58">SUM(R88:X88)</f>
        <v>0</v>
      </c>
      <c r="Z88" s="6"/>
      <c r="AA88" s="6"/>
      <c r="AB88" s="6"/>
      <c r="AC88" s="6"/>
      <c r="AD88" s="6"/>
      <c r="AE88" s="6"/>
      <c r="AF88" s="6"/>
      <c r="AG88" s="8"/>
      <c r="AI88" s="97"/>
    </row>
    <row r="89" spans="2:37" x14ac:dyDescent="0.25">
      <c r="B89" s="120"/>
      <c r="C89" s="328" t="s">
        <v>452</v>
      </c>
      <c r="D89" s="23" t="str">
        <f>INDEX(Unit_Rates!$C$7:$K$113,MATCH($C89,Unit_Rates!$C$7:$C$113,0),5)</f>
        <v>Distribution system assets</v>
      </c>
      <c r="E89" s="23" t="str">
        <f>INDEX(Unit_Rates!$C$7:$K$113,MATCH($C89,Unit_Rates!$C$7:$C$113,0),6)</f>
        <v>Augmentation</v>
      </c>
      <c r="F89" s="23" t="str">
        <f t="shared" si="56"/>
        <v>Distribution system assetsAugmentation</v>
      </c>
      <c r="G89" s="170">
        <f>INDEX(Unit_Rates!$C$7:$K$113,MATCH($C89,Unit_Rates!$C$7:$C$113,0),7)</f>
        <v>4.3774577767537882E-2</v>
      </c>
      <c r="H89" s="350">
        <v>2000</v>
      </c>
      <c r="I89" s="308" t="s">
        <v>295</v>
      </c>
      <c r="J89" s="108"/>
      <c r="K89" s="170">
        <f t="shared" si="57"/>
        <v>87.549155535075769</v>
      </c>
      <c r="L89" s="170">
        <f>SUMPRODUCT(R$5:X$5,R89:X89)/Thousands</f>
        <v>0</v>
      </c>
      <c r="M89" s="170"/>
      <c r="N89" s="446"/>
      <c r="O89" s="446"/>
      <c r="P89" s="446"/>
      <c r="Q89" s="314">
        <f>P89-H89*VLOOKUP(C89,Unit_Rates!$C$7:$E$113,3,FALSE)</f>
        <v>0</v>
      </c>
      <c r="R89" s="134">
        <v>0</v>
      </c>
      <c r="S89" s="134">
        <v>0</v>
      </c>
      <c r="T89" s="134">
        <v>0</v>
      </c>
      <c r="U89" s="134">
        <v>0</v>
      </c>
      <c r="V89" s="134">
        <v>0</v>
      </c>
      <c r="W89" s="134">
        <v>0</v>
      </c>
      <c r="X89" s="134">
        <v>0</v>
      </c>
      <c r="Y89" s="304">
        <f t="shared" si="58"/>
        <v>0</v>
      </c>
      <c r="Z89" s="6"/>
      <c r="AA89" s="6"/>
      <c r="AB89" s="6"/>
      <c r="AC89" s="6"/>
      <c r="AD89" s="6"/>
      <c r="AE89" s="6"/>
      <c r="AF89" s="6"/>
      <c r="AG89" s="8"/>
      <c r="AI89" s="97"/>
    </row>
    <row r="90" spans="2:37" x14ac:dyDescent="0.25">
      <c r="B90" s="120"/>
      <c r="C90" s="328" t="s">
        <v>459</v>
      </c>
      <c r="D90" s="23" t="str">
        <f>INDEX(Unit_Rates!$C$7:$K$113,MATCH($C90,Unit_Rates!$C$7:$C$113,0),5)</f>
        <v>Distribution system assets</v>
      </c>
      <c r="E90" s="23" t="str">
        <f>INDEX(Unit_Rates!$C$7:$K$113,MATCH($C90,Unit_Rates!$C$7:$C$113,0),6)</f>
        <v>Augmentation</v>
      </c>
      <c r="F90" s="23" t="str">
        <f t="shared" si="44"/>
        <v>Distribution system assetsAugmentation</v>
      </c>
      <c r="G90" s="170">
        <f>INDEX(Unit_Rates!$C$7:$K$113,MATCH($C90,Unit_Rates!$C$7:$C$113,0),7)</f>
        <v>3.1911672473867689</v>
      </c>
      <c r="H90" s="350">
        <v>49</v>
      </c>
      <c r="I90" s="308" t="s">
        <v>294</v>
      </c>
      <c r="J90" s="108"/>
      <c r="K90" s="211">
        <f t="shared" si="45"/>
        <v>156.36719512195168</v>
      </c>
      <c r="L90" s="211">
        <f>SUMPRODUCT(R$5:X$5,R90:X90)/Thousands</f>
        <v>0</v>
      </c>
      <c r="M90" s="211"/>
      <c r="N90" s="447"/>
      <c r="O90" s="447"/>
      <c r="P90" s="447"/>
      <c r="Q90" s="314">
        <f>P90-H90*VLOOKUP(C90,Unit_Rates!$C$7:$E$113,3,FALSE)</f>
        <v>0</v>
      </c>
      <c r="R90" s="134">
        <v>0</v>
      </c>
      <c r="S90" s="134">
        <v>0</v>
      </c>
      <c r="T90" s="134">
        <v>0</v>
      </c>
      <c r="U90" s="134">
        <v>0</v>
      </c>
      <c r="V90" s="134">
        <v>0</v>
      </c>
      <c r="W90" s="134">
        <v>0</v>
      </c>
      <c r="X90" s="134">
        <v>0</v>
      </c>
      <c r="Y90" s="304">
        <f t="shared" si="47"/>
        <v>0</v>
      </c>
      <c r="Z90" s="6"/>
      <c r="AA90" s="6"/>
      <c r="AB90" s="6"/>
      <c r="AC90" s="6"/>
      <c r="AD90" s="6"/>
      <c r="AE90" s="6"/>
      <c r="AF90" s="6"/>
      <c r="AG90" s="8"/>
      <c r="AI90" s="97"/>
    </row>
    <row r="91" spans="2:37" x14ac:dyDescent="0.25">
      <c r="B91" s="120"/>
      <c r="C91" s="23" t="s">
        <v>465</v>
      </c>
      <c r="G91" s="212"/>
      <c r="H91" s="122"/>
      <c r="I91" s="167"/>
      <c r="K91" s="212">
        <v>501.64946125669144</v>
      </c>
      <c r="L91" s="212">
        <v>81.403306384832263</v>
      </c>
      <c r="M91" s="212">
        <v>19.143201854554885</v>
      </c>
      <c r="N91" s="212">
        <v>1853.2141847719554</v>
      </c>
      <c r="O91" s="212">
        <v>36.051090123082034</v>
      </c>
      <c r="P91" s="212">
        <v>2491.461244391116</v>
      </c>
      <c r="Q91" s="22"/>
      <c r="R91" s="238"/>
      <c r="S91" s="238"/>
      <c r="T91" s="238"/>
      <c r="U91" s="238"/>
      <c r="V91" s="238"/>
      <c r="W91" s="238"/>
      <c r="X91" s="238"/>
      <c r="AI91" s="97"/>
    </row>
    <row r="92" spans="2:37" x14ac:dyDescent="0.25">
      <c r="B92" s="84"/>
      <c r="C92" s="23"/>
      <c r="G92" s="167"/>
      <c r="H92" s="84"/>
      <c r="I92" s="167"/>
      <c r="K92" s="203"/>
      <c r="L92" s="203"/>
      <c r="M92" s="203"/>
      <c r="N92" s="203"/>
      <c r="O92" s="203"/>
      <c r="P92" s="167"/>
    </row>
    <row r="93" spans="2:37" x14ac:dyDescent="0.25">
      <c r="B93" s="120" t="s">
        <v>330</v>
      </c>
      <c r="C93" s="23"/>
      <c r="G93" s="167"/>
      <c r="H93" s="84"/>
      <c r="I93" s="167"/>
      <c r="K93" s="193">
        <f>K91+K79</f>
        <v>555.5951953526004</v>
      </c>
      <c r="L93" s="193">
        <f t="shared" ref="L93:P93" si="59">L91+L79</f>
        <v>101.75413298104033</v>
      </c>
      <c r="M93" s="193">
        <f t="shared" si="59"/>
        <v>23.929002318193607</v>
      </c>
      <c r="N93" s="193">
        <f t="shared" si="59"/>
        <v>2029.7571265651857</v>
      </c>
      <c r="O93" s="193">
        <f t="shared" si="59"/>
        <v>43.304424500542432</v>
      </c>
      <c r="P93" s="193">
        <f t="shared" si="59"/>
        <v>2754.3398817175625</v>
      </c>
      <c r="R93" s="153"/>
      <c r="S93" s="153"/>
      <c r="T93" s="153"/>
    </row>
    <row r="94" spans="2:37" x14ac:dyDescent="0.25">
      <c r="B94" s="195" t="s">
        <v>307</v>
      </c>
      <c r="C94" s="102"/>
      <c r="D94" s="102"/>
      <c r="E94" s="102"/>
      <c r="F94" s="102"/>
      <c r="G94" s="102"/>
      <c r="H94" s="102"/>
      <c r="I94" s="102"/>
      <c r="J94" s="102"/>
      <c r="K94" s="217"/>
      <c r="L94" s="217"/>
      <c r="M94" s="217"/>
      <c r="N94" s="217"/>
      <c r="O94" s="217"/>
      <c r="P94" s="218"/>
      <c r="Q94" s="22"/>
    </row>
    <row r="95" spans="2:37" x14ac:dyDescent="0.25">
      <c r="B95" s="84"/>
      <c r="K95" s="165"/>
      <c r="L95" s="165"/>
      <c r="M95" s="165"/>
      <c r="N95" s="165"/>
      <c r="O95" s="165"/>
      <c r="P95" s="254"/>
    </row>
    <row r="96" spans="2:37" x14ac:dyDescent="0.25">
      <c r="B96" s="120" t="s">
        <v>33</v>
      </c>
      <c r="C96" s="3"/>
      <c r="D96" s="3"/>
      <c r="E96" s="3"/>
      <c r="F96" s="3"/>
      <c r="G96" s="3"/>
      <c r="H96" s="3"/>
      <c r="I96" s="3"/>
      <c r="J96" s="3"/>
      <c r="K96" s="221">
        <f t="shared" ref="K96:P96" si="60">K69+K93</f>
        <v>3440.8794912290127</v>
      </c>
      <c r="L96" s="221">
        <f t="shared" si="60"/>
        <v>786.7357633148589</v>
      </c>
      <c r="M96" s="221">
        <f t="shared" si="60"/>
        <v>823.92900231819362</v>
      </c>
      <c r="N96" s="221">
        <f t="shared" si="60"/>
        <v>4573.2380318526766</v>
      </c>
      <c r="O96" s="221">
        <f t="shared" si="60"/>
        <v>137.51230545071056</v>
      </c>
      <c r="P96" s="255">
        <f t="shared" si="60"/>
        <v>9762.2945941654525</v>
      </c>
    </row>
    <row r="97" spans="2:16" outlineLevel="1" x14ac:dyDescent="0.25">
      <c r="B97" s="224" t="s">
        <v>307</v>
      </c>
      <c r="C97" s="225"/>
      <c r="D97" s="225"/>
      <c r="E97" s="225"/>
      <c r="F97" s="225"/>
      <c r="G97" s="225"/>
      <c r="H97" s="225"/>
      <c r="I97" s="225"/>
      <c r="J97" s="225"/>
      <c r="K97" s="266"/>
      <c r="L97" s="266"/>
      <c r="M97" s="266"/>
      <c r="N97" s="266"/>
      <c r="O97" s="266"/>
      <c r="P97" s="256"/>
    </row>
    <row r="98" spans="2:16" outlineLevel="1" x14ac:dyDescent="0.25"/>
    <row r="99" spans="2:16" outlineLevel="1" x14ac:dyDescent="0.25">
      <c r="H99" s="57"/>
    </row>
    <row r="100" spans="2:16" outlineLevel="1" x14ac:dyDescent="0.25">
      <c r="C100" t="s">
        <v>456</v>
      </c>
      <c r="D100" t="s">
        <v>3</v>
      </c>
      <c r="E100" t="s">
        <v>27</v>
      </c>
      <c r="F100" t="str">
        <f t="shared" ref="F100:F120" si="61">D100&amp;E100</f>
        <v>SubtransmissionAugmentation</v>
      </c>
      <c r="K100" s="4">
        <v>1523.8626807065127</v>
      </c>
      <c r="L100" s="4">
        <v>0</v>
      </c>
      <c r="M100" s="4">
        <v>0</v>
      </c>
      <c r="N100" s="4">
        <v>2099.4444545273004</v>
      </c>
      <c r="O100" s="4">
        <v>86.183562261104044</v>
      </c>
      <c r="P100" s="4">
        <v>3709.4906974949172</v>
      </c>
    </row>
    <row r="101" spans="2:16" outlineLevel="1" x14ac:dyDescent="0.25">
      <c r="D101" t="s">
        <v>3</v>
      </c>
      <c r="E101" t="s">
        <v>28</v>
      </c>
      <c r="F101" t="str">
        <f t="shared" si="61"/>
        <v>SubtransmissionReplacement</v>
      </c>
      <c r="K101" s="4">
        <v>0</v>
      </c>
      <c r="L101" s="4">
        <v>0</v>
      </c>
      <c r="M101" s="4">
        <v>0</v>
      </c>
      <c r="N101" s="4">
        <v>0</v>
      </c>
      <c r="O101" s="4">
        <v>0</v>
      </c>
      <c r="P101" s="4">
        <v>0</v>
      </c>
    </row>
    <row r="102" spans="2:16" outlineLevel="1" x14ac:dyDescent="0.25">
      <c r="D102" t="s">
        <v>2</v>
      </c>
      <c r="E102" t="s">
        <v>27</v>
      </c>
      <c r="F102" t="str">
        <f t="shared" si="61"/>
        <v>SCADA/Network controlAugmentation</v>
      </c>
      <c r="K102" s="4">
        <v>1361.4216151698988</v>
      </c>
      <c r="L102" s="4">
        <v>0</v>
      </c>
      <c r="M102" s="4">
        <v>0</v>
      </c>
      <c r="N102" s="4">
        <v>277.8864507601906</v>
      </c>
      <c r="O102" s="4">
        <v>8.0243186890640583</v>
      </c>
      <c r="P102" s="4">
        <v>1647.3323846191536</v>
      </c>
    </row>
    <row r="103" spans="2:16" outlineLevel="1" x14ac:dyDescent="0.25">
      <c r="D103" t="s">
        <v>2</v>
      </c>
      <c r="E103" t="s">
        <v>28</v>
      </c>
      <c r="F103" t="str">
        <f t="shared" si="61"/>
        <v>SCADA/Network controlReplacement</v>
      </c>
      <c r="K103" s="4">
        <v>0</v>
      </c>
      <c r="L103" s="4">
        <v>0</v>
      </c>
      <c r="M103" s="4">
        <v>0</v>
      </c>
      <c r="N103" s="4">
        <v>0</v>
      </c>
      <c r="O103" s="4">
        <v>0</v>
      </c>
      <c r="P103" s="4">
        <v>0</v>
      </c>
    </row>
    <row r="104" spans="2:16" outlineLevel="1" x14ac:dyDescent="0.25">
      <c r="D104" t="s">
        <v>4</v>
      </c>
      <c r="E104" t="s">
        <v>29</v>
      </c>
      <c r="F104" t="str">
        <f t="shared" si="61"/>
        <v>LandNon-Network</v>
      </c>
      <c r="K104" s="230">
        <v>0</v>
      </c>
      <c r="L104" s="230">
        <v>0</v>
      </c>
      <c r="M104" s="230">
        <v>0</v>
      </c>
      <c r="N104" s="230">
        <v>166.15</v>
      </c>
      <c r="O104" s="230">
        <v>0</v>
      </c>
      <c r="P104" s="230">
        <v>166.15</v>
      </c>
    </row>
    <row r="105" spans="2:16" outlineLevel="1" x14ac:dyDescent="0.25">
      <c r="K105" s="4">
        <v>2885.2842958764113</v>
      </c>
      <c r="L105" s="4">
        <v>0</v>
      </c>
      <c r="M105" s="4">
        <v>0</v>
      </c>
      <c r="N105" s="4">
        <v>2543.4809052874912</v>
      </c>
      <c r="O105" s="4">
        <v>94.207880950168104</v>
      </c>
      <c r="P105" s="4">
        <v>5522.9730821140702</v>
      </c>
    </row>
    <row r="106" spans="2:16" outlineLevel="1" x14ac:dyDescent="0.25">
      <c r="C106" t="s">
        <v>331</v>
      </c>
      <c r="D106" t="s">
        <v>3</v>
      </c>
      <c r="E106" t="s">
        <v>27</v>
      </c>
      <c r="F106" t="str">
        <f t="shared" ref="F106:F110" si="62">D106&amp;E106</f>
        <v>SubtransmissionAugmentation</v>
      </c>
      <c r="K106" s="4"/>
      <c r="L106" s="4">
        <v>460.06615420721732</v>
      </c>
      <c r="M106" s="4">
        <v>537.31794703225421</v>
      </c>
      <c r="N106" s="4">
        <v>0</v>
      </c>
      <c r="O106" s="4"/>
      <c r="P106" s="4">
        <v>997.38410123947153</v>
      </c>
    </row>
    <row r="107" spans="2:16" outlineLevel="1" x14ac:dyDescent="0.25">
      <c r="D107" t="s">
        <v>3</v>
      </c>
      <c r="E107" t="s">
        <v>28</v>
      </c>
      <c r="F107" t="str">
        <f t="shared" si="62"/>
        <v>SubtransmissionReplacement</v>
      </c>
      <c r="K107" s="4"/>
      <c r="L107" s="232">
        <v>0</v>
      </c>
      <c r="M107" s="232">
        <v>0</v>
      </c>
      <c r="N107" s="232">
        <v>0</v>
      </c>
      <c r="O107" s="4"/>
      <c r="P107" s="4">
        <v>0</v>
      </c>
    </row>
    <row r="108" spans="2:16" outlineLevel="1" x14ac:dyDescent="0.25">
      <c r="D108" t="s">
        <v>2</v>
      </c>
      <c r="E108" t="s">
        <v>27</v>
      </c>
      <c r="F108" t="str">
        <f t="shared" si="62"/>
        <v>SCADA/Network controlAugmentation</v>
      </c>
      <c r="K108" s="4"/>
      <c r="L108" s="4">
        <v>204.30887598789482</v>
      </c>
      <c r="M108" s="4">
        <v>238.61530521725328</v>
      </c>
      <c r="N108" s="4">
        <v>0</v>
      </c>
      <c r="O108" s="4"/>
      <c r="P108" s="4">
        <v>442.9241812051481</v>
      </c>
    </row>
    <row r="109" spans="2:16" outlineLevel="1" x14ac:dyDescent="0.25">
      <c r="D109" t="s">
        <v>2</v>
      </c>
      <c r="E109" t="s">
        <v>28</v>
      </c>
      <c r="F109" t="str">
        <f t="shared" si="62"/>
        <v>SCADA/Network controlReplacement</v>
      </c>
      <c r="K109" s="4"/>
      <c r="L109" s="4">
        <v>0</v>
      </c>
      <c r="M109" s="4">
        <v>0</v>
      </c>
      <c r="N109" s="4">
        <v>0</v>
      </c>
      <c r="O109" s="4"/>
      <c r="P109" s="4">
        <v>0</v>
      </c>
    </row>
    <row r="110" spans="2:16" outlineLevel="1" x14ac:dyDescent="0.25">
      <c r="D110" t="s">
        <v>4</v>
      </c>
      <c r="E110" t="s">
        <v>29</v>
      </c>
      <c r="F110" t="str">
        <f t="shared" si="62"/>
        <v>LandNon-Network</v>
      </c>
      <c r="K110" s="230"/>
      <c r="L110" s="230">
        <v>20.606600138706479</v>
      </c>
      <c r="M110" s="230">
        <v>24.066747750492603</v>
      </c>
      <c r="N110" s="230">
        <v>0</v>
      </c>
      <c r="O110" s="230"/>
      <c r="P110" s="230">
        <v>44.673347889199079</v>
      </c>
    </row>
    <row r="111" spans="2:16" outlineLevel="1" x14ac:dyDescent="0.25">
      <c r="K111" s="4">
        <v>0</v>
      </c>
      <c r="L111" s="4">
        <v>684.98163033381854</v>
      </c>
      <c r="M111" s="4">
        <v>800.00000000000011</v>
      </c>
      <c r="N111" s="4">
        <v>0</v>
      </c>
      <c r="O111" s="4">
        <v>0</v>
      </c>
      <c r="P111" s="4">
        <v>1484.9816303338187</v>
      </c>
    </row>
    <row r="112" spans="2:16" outlineLevel="1" x14ac:dyDescent="0.25">
      <c r="C112" t="s">
        <v>457</v>
      </c>
      <c r="D112" t="s">
        <v>3</v>
      </c>
      <c r="E112" t="s">
        <v>27</v>
      </c>
      <c r="F112" t="str">
        <f t="shared" ref="F112:F116" si="63">D112&amp;E112</f>
        <v>SubtransmissionAugmentation</v>
      </c>
      <c r="K112" s="4">
        <v>1523.8626807065127</v>
      </c>
      <c r="L112" s="4">
        <v>460.06615420721732</v>
      </c>
      <c r="M112" s="4">
        <v>537.31794703225421</v>
      </c>
      <c r="N112" s="4">
        <v>2099.4444545273004</v>
      </c>
      <c r="O112" s="4">
        <v>86.183562261104044</v>
      </c>
      <c r="P112" s="4">
        <v>4706.8747987343886</v>
      </c>
    </row>
    <row r="113" spans="3:16" outlineLevel="1" x14ac:dyDescent="0.25">
      <c r="D113" t="s">
        <v>3</v>
      </c>
      <c r="E113" t="s">
        <v>28</v>
      </c>
      <c r="F113" t="str">
        <f t="shared" si="63"/>
        <v>SubtransmissionReplacement</v>
      </c>
      <c r="K113" s="4">
        <v>0</v>
      </c>
      <c r="L113" s="4">
        <v>0</v>
      </c>
      <c r="M113" s="4">
        <v>0</v>
      </c>
      <c r="N113" s="4">
        <v>0</v>
      </c>
      <c r="O113" s="4">
        <v>0</v>
      </c>
      <c r="P113" s="4">
        <v>0</v>
      </c>
    </row>
    <row r="114" spans="3:16" outlineLevel="1" x14ac:dyDescent="0.25">
      <c r="D114" t="s">
        <v>2</v>
      </c>
      <c r="E114" t="s">
        <v>27</v>
      </c>
      <c r="F114" t="str">
        <f t="shared" si="63"/>
        <v>SCADA/Network controlAugmentation</v>
      </c>
      <c r="K114" s="4">
        <v>1361.4216151698988</v>
      </c>
      <c r="L114" s="4">
        <v>204.30887598789482</v>
      </c>
      <c r="M114" s="4">
        <v>238.61530521725328</v>
      </c>
      <c r="N114" s="4">
        <v>277.8864507601906</v>
      </c>
      <c r="O114" s="4">
        <v>8.0243186890640583</v>
      </c>
      <c r="P114" s="4">
        <v>2090.2565658243016</v>
      </c>
    </row>
    <row r="115" spans="3:16" outlineLevel="1" x14ac:dyDescent="0.25">
      <c r="D115" t="s">
        <v>2</v>
      </c>
      <c r="E115" t="s">
        <v>28</v>
      </c>
      <c r="F115" t="str">
        <f t="shared" si="63"/>
        <v>SCADA/Network controlReplacement</v>
      </c>
      <c r="K115" s="4">
        <v>0</v>
      </c>
      <c r="L115" s="4">
        <v>0</v>
      </c>
      <c r="M115" s="4">
        <v>0</v>
      </c>
      <c r="N115" s="4">
        <v>0</v>
      </c>
      <c r="O115" s="4">
        <v>0</v>
      </c>
      <c r="P115" s="4">
        <v>0</v>
      </c>
    </row>
    <row r="116" spans="3:16" outlineLevel="1" x14ac:dyDescent="0.25">
      <c r="D116" t="s">
        <v>4</v>
      </c>
      <c r="E116" t="s">
        <v>29</v>
      </c>
      <c r="F116" t="str">
        <f t="shared" si="63"/>
        <v>LandNon-Network</v>
      </c>
      <c r="K116" s="230">
        <v>0</v>
      </c>
      <c r="L116" s="230">
        <v>20.606600138706479</v>
      </c>
      <c r="M116" s="230">
        <v>24.066747750492603</v>
      </c>
      <c r="N116" s="230">
        <v>166.15</v>
      </c>
      <c r="O116" s="230">
        <v>0</v>
      </c>
      <c r="P116" s="230">
        <v>210.82334788919908</v>
      </c>
    </row>
    <row r="117" spans="3:16" outlineLevel="1" x14ac:dyDescent="0.25">
      <c r="K117" s="4">
        <v>2885.2842958764113</v>
      </c>
      <c r="L117" s="4">
        <v>684.98163033381854</v>
      </c>
      <c r="M117" s="4">
        <v>800.00000000000011</v>
      </c>
      <c r="N117" s="4">
        <v>2543.4809052874912</v>
      </c>
      <c r="O117" s="4">
        <v>94.207880950168104</v>
      </c>
      <c r="P117" s="4">
        <v>7007.9547124478895</v>
      </c>
    </row>
    <row r="118" spans="3:16" outlineLevel="1" x14ac:dyDescent="0.25">
      <c r="K118" s="97">
        <v>0</v>
      </c>
      <c r="L118" s="97">
        <v>0</v>
      </c>
      <c r="M118" s="97">
        <v>0</v>
      </c>
      <c r="N118" s="97">
        <v>0</v>
      </c>
      <c r="O118" s="97">
        <v>0</v>
      </c>
      <c r="P118" s="97">
        <v>0</v>
      </c>
    </row>
    <row r="119" spans="3:16" outlineLevel="1" x14ac:dyDescent="0.25">
      <c r="C119" t="s">
        <v>458</v>
      </c>
      <c r="D119" t="s">
        <v>92</v>
      </c>
      <c r="E119" t="s">
        <v>27</v>
      </c>
      <c r="F119" t="str">
        <f t="shared" si="61"/>
        <v>Distribution system assetsAugmentation</v>
      </c>
      <c r="K119" s="4">
        <v>53.945734095908968</v>
      </c>
      <c r="L119" s="4">
        <v>20.350826596208066</v>
      </c>
      <c r="M119" s="4">
        <v>4.7858004636387212</v>
      </c>
      <c r="N119" s="4">
        <v>176.54294179323034</v>
      </c>
      <c r="O119" s="4">
        <v>7.2533343774603987</v>
      </c>
      <c r="P119" s="4">
        <v>262.87863732644649</v>
      </c>
    </row>
    <row r="120" spans="3:16" outlineLevel="1" x14ac:dyDescent="0.25">
      <c r="D120" t="s">
        <v>92</v>
      </c>
      <c r="E120" t="s">
        <v>28</v>
      </c>
      <c r="F120" t="str">
        <f t="shared" si="61"/>
        <v>Distribution system assetsReplacement</v>
      </c>
      <c r="K120" s="230">
        <v>0</v>
      </c>
      <c r="L120" s="230">
        <v>0</v>
      </c>
      <c r="M120" s="230">
        <v>0</v>
      </c>
      <c r="N120" s="230">
        <v>0</v>
      </c>
      <c r="O120" s="230">
        <v>0</v>
      </c>
      <c r="P120" s="230">
        <v>0</v>
      </c>
    </row>
    <row r="121" spans="3:16" outlineLevel="1" x14ac:dyDescent="0.25">
      <c r="K121" s="77">
        <v>53.945734095908968</v>
      </c>
      <c r="L121" s="77">
        <v>20.350826596208066</v>
      </c>
      <c r="M121" s="77">
        <v>4.7858004636387212</v>
      </c>
      <c r="N121" s="77">
        <v>176.54294179323034</v>
      </c>
      <c r="O121" s="77">
        <v>7.2533343774603987</v>
      </c>
      <c r="P121" s="77">
        <v>262.87863732644649</v>
      </c>
    </row>
    <row r="122" spans="3:16" outlineLevel="1" x14ac:dyDescent="0.25">
      <c r="K122" s="235">
        <v>0</v>
      </c>
      <c r="L122" s="235">
        <v>0</v>
      </c>
      <c r="M122" s="235">
        <v>0</v>
      </c>
      <c r="N122" s="235">
        <v>0</v>
      </c>
      <c r="O122" s="235">
        <v>0</v>
      </c>
      <c r="P122" s="235">
        <v>0</v>
      </c>
    </row>
    <row r="123" spans="3:16" outlineLevel="1" x14ac:dyDescent="0.25">
      <c r="C123" t="s">
        <v>461</v>
      </c>
      <c r="D123" t="s">
        <v>3</v>
      </c>
      <c r="E123" t="s">
        <v>27</v>
      </c>
      <c r="F123" s="23" t="str">
        <f t="shared" ref="F123:F126" si="64">D123&amp;E123</f>
        <v>SubtransmissionAugmentation</v>
      </c>
      <c r="K123" s="232">
        <v>137.01742160278786</v>
      </c>
      <c r="L123" s="232">
        <v>0</v>
      </c>
      <c r="M123" s="232">
        <v>0</v>
      </c>
      <c r="N123" s="232">
        <v>54.932961672474036</v>
      </c>
      <c r="O123" s="232">
        <v>6.7327526132404385</v>
      </c>
      <c r="P123" s="232">
        <v>198.68313588850233</v>
      </c>
    </row>
    <row r="124" spans="3:16" outlineLevel="1" x14ac:dyDescent="0.25">
      <c r="D124" t="s">
        <v>3</v>
      </c>
      <c r="E124" t="s">
        <v>28</v>
      </c>
      <c r="F124" s="23" t="str">
        <f t="shared" si="64"/>
        <v>SubtransmissionReplacement</v>
      </c>
      <c r="K124" s="232">
        <v>0</v>
      </c>
      <c r="L124" s="232">
        <v>0</v>
      </c>
      <c r="M124" s="232">
        <v>0</v>
      </c>
      <c r="N124" s="232">
        <v>0</v>
      </c>
      <c r="O124" s="232">
        <v>0</v>
      </c>
      <c r="P124" s="232">
        <v>0</v>
      </c>
    </row>
    <row r="125" spans="3:16" outlineLevel="1" x14ac:dyDescent="0.25">
      <c r="D125" t="s">
        <v>92</v>
      </c>
      <c r="E125" t="s">
        <v>27</v>
      </c>
      <c r="F125" s="23" t="str">
        <f t="shared" si="64"/>
        <v>Distribution system assetsAugmentation</v>
      </c>
      <c r="K125" s="232">
        <v>340.39203965390351</v>
      </c>
      <c r="L125" s="232">
        <v>81.403306384832263</v>
      </c>
      <c r="M125" s="232">
        <v>19.143201854554885</v>
      </c>
      <c r="N125" s="232">
        <v>1686.988099083572</v>
      </c>
      <c r="O125" s="232">
        <v>28.218337509841596</v>
      </c>
      <c r="P125" s="232">
        <v>2156.1449844867043</v>
      </c>
    </row>
    <row r="126" spans="3:16" x14ac:dyDescent="0.25">
      <c r="D126" t="s">
        <v>92</v>
      </c>
      <c r="E126" t="s">
        <v>28</v>
      </c>
      <c r="F126" s="23" t="str">
        <f t="shared" si="64"/>
        <v>Distribution system assetsReplacement</v>
      </c>
      <c r="K126" s="337">
        <v>24.24</v>
      </c>
      <c r="L126" s="337">
        <v>0</v>
      </c>
      <c r="M126" s="337">
        <v>0</v>
      </c>
      <c r="N126" s="337">
        <v>111.2931240159094</v>
      </c>
      <c r="O126" s="337">
        <v>1.1000000000000001</v>
      </c>
      <c r="P126" s="337">
        <v>136.6331240159094</v>
      </c>
    </row>
    <row r="127" spans="3:16" x14ac:dyDescent="0.25">
      <c r="K127" s="304">
        <v>501.64946125669138</v>
      </c>
      <c r="L127" s="304">
        <v>81.403306384832263</v>
      </c>
      <c r="M127" s="304">
        <v>19.143201854554885</v>
      </c>
      <c r="N127" s="304">
        <v>1853.2141847719554</v>
      </c>
      <c r="O127" s="304">
        <v>36.051090123082034</v>
      </c>
      <c r="P127" s="304">
        <v>2491.461244391116</v>
      </c>
    </row>
    <row r="128" spans="3:16" x14ac:dyDescent="0.25">
      <c r="K128" s="336">
        <f t="shared" ref="K128:P128" si="65">K127-K91</f>
        <v>0</v>
      </c>
      <c r="L128" s="336">
        <f t="shared" si="65"/>
        <v>0</v>
      </c>
      <c r="M128" s="336">
        <f t="shared" si="65"/>
        <v>0</v>
      </c>
      <c r="N128" s="336">
        <f t="shared" si="65"/>
        <v>0</v>
      </c>
      <c r="O128" s="336">
        <f t="shared" si="65"/>
        <v>0</v>
      </c>
      <c r="P128" s="336">
        <f t="shared" si="65"/>
        <v>0</v>
      </c>
    </row>
  </sheetData>
  <mergeCells count="3">
    <mergeCell ref="G3:I3"/>
    <mergeCell ref="K3:P3"/>
    <mergeCell ref="R3:X3"/>
  </mergeCells>
  <pageMargins left="0.25" right="0.25" top="0.75" bottom="0.75" header="0.3" footer="0.3"/>
  <pageSetup paperSize="9" scale="72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B1:AK107"/>
  <sheetViews>
    <sheetView zoomScale="70" zoomScaleNormal="70" workbookViewId="0">
      <pane xSplit="3" ySplit="4" topLeftCell="D5" activePane="bottomRight" state="frozen"/>
      <selection activeCell="K4" sqref="K4:P4"/>
      <selection pane="topRight" activeCell="K4" sqref="K4:P4"/>
      <selection pane="bottomLeft" activeCell="K4" sqref="K4:P4"/>
      <selection pane="bottomRight" activeCell="P5" sqref="P5"/>
    </sheetView>
  </sheetViews>
  <sheetFormatPr defaultRowHeight="15" outlineLevelRow="1" outlineLevelCol="1" x14ac:dyDescent="0.25"/>
  <cols>
    <col min="1" max="1" width="2.28515625" customWidth="1"/>
    <col min="2" max="2" width="3" customWidth="1"/>
    <col min="3" max="3" width="52" customWidth="1"/>
    <col min="4" max="5" width="21.28515625" hidden="1" customWidth="1" outlineLevel="1"/>
    <col min="6" max="6" width="32.85546875" hidden="1" customWidth="1" outlineLevel="1"/>
    <col min="7" max="7" width="9.28515625" customWidth="1" collapsed="1"/>
    <col min="8" max="8" width="8.7109375" customWidth="1"/>
    <col min="9" max="9" width="10.7109375" customWidth="1"/>
    <col min="10" max="10" width="2.28515625" customWidth="1"/>
    <col min="11" max="11" width="10.5703125" customWidth="1"/>
    <col min="12" max="12" width="9.42578125" bestFit="1" customWidth="1"/>
    <col min="13" max="13" width="9.42578125" customWidth="1"/>
    <col min="14" max="14" width="12.28515625" customWidth="1"/>
    <col min="15" max="15" width="9.140625" bestFit="1" customWidth="1"/>
    <col min="16" max="16" width="10.28515625" customWidth="1"/>
    <col min="17" max="17" width="10" bestFit="1" customWidth="1"/>
    <col min="18" max="18" width="9.28515625" customWidth="1"/>
    <col min="19" max="19" width="10.28515625" customWidth="1"/>
    <col min="20" max="20" width="9.5703125" customWidth="1"/>
    <col min="21" max="25" width="8.7109375" customWidth="1"/>
    <col min="26" max="35" width="8.85546875" hidden="1" customWidth="1" outlineLevel="1"/>
    <col min="36" max="36" width="8.85546875" collapsed="1"/>
  </cols>
  <sheetData>
    <row r="1" spans="2:37" x14ac:dyDescent="0.25">
      <c r="N1" s="452" t="s">
        <v>112</v>
      </c>
      <c r="Q1" s="22"/>
    </row>
    <row r="2" spans="2:37" x14ac:dyDescent="0.25">
      <c r="B2" s="11" t="str">
        <f>STN_9&amp;" Volumes &amp; Unit Rates"</f>
        <v>LDL Volumes &amp; Unit Rates</v>
      </c>
    </row>
    <row r="3" spans="2:37" x14ac:dyDescent="0.25">
      <c r="B3" t="str">
        <f>STN_9</f>
        <v>LDL</v>
      </c>
      <c r="G3" s="462" t="s">
        <v>21</v>
      </c>
      <c r="H3" s="463"/>
      <c r="I3" s="464"/>
      <c r="K3" s="462" t="s">
        <v>276</v>
      </c>
      <c r="L3" s="463"/>
      <c r="M3" s="463"/>
      <c r="N3" s="463"/>
      <c r="O3" s="463"/>
      <c r="P3" s="464"/>
      <c r="R3" s="462" t="s">
        <v>277</v>
      </c>
      <c r="S3" s="463"/>
      <c r="T3" s="463"/>
      <c r="U3" s="463"/>
      <c r="V3" s="463"/>
      <c r="W3" s="463"/>
      <c r="X3" s="464"/>
    </row>
    <row r="4" spans="2:37" ht="45" customHeight="1" x14ac:dyDescent="0.25">
      <c r="D4" t="s">
        <v>5</v>
      </c>
      <c r="E4" t="s">
        <v>20</v>
      </c>
      <c r="G4" s="109" t="s">
        <v>278</v>
      </c>
      <c r="H4" s="110" t="s">
        <v>279</v>
      </c>
      <c r="I4" s="111" t="s">
        <v>280</v>
      </c>
      <c r="K4" s="111" t="s">
        <v>21</v>
      </c>
      <c r="L4" s="111" t="s">
        <v>22</v>
      </c>
      <c r="M4" s="118" t="s">
        <v>23</v>
      </c>
      <c r="N4" s="118" t="s">
        <v>24</v>
      </c>
      <c r="O4" s="111" t="s">
        <v>25</v>
      </c>
      <c r="P4" s="111" t="s">
        <v>26</v>
      </c>
      <c r="Q4" s="123" t="s">
        <v>281</v>
      </c>
      <c r="R4" s="115" t="s">
        <v>282</v>
      </c>
      <c r="S4" s="115" t="s">
        <v>82</v>
      </c>
      <c r="T4" s="115" t="s">
        <v>83</v>
      </c>
      <c r="U4" s="115" t="s">
        <v>84</v>
      </c>
      <c r="V4" s="115" t="s">
        <v>283</v>
      </c>
      <c r="W4" s="115" t="s">
        <v>85</v>
      </c>
      <c r="X4" s="115" t="s">
        <v>284</v>
      </c>
      <c r="Y4" s="115" t="s">
        <v>285</v>
      </c>
    </row>
    <row r="5" spans="2:37" x14ac:dyDescent="0.25">
      <c r="B5" s="116" t="s">
        <v>286</v>
      </c>
      <c r="C5" s="117"/>
      <c r="D5" s="117"/>
      <c r="E5" s="117"/>
      <c r="F5" s="117"/>
      <c r="G5" s="118"/>
      <c r="H5" s="110"/>
      <c r="I5" s="111"/>
      <c r="J5" s="117"/>
      <c r="K5" s="111"/>
      <c r="L5" s="111"/>
      <c r="M5" s="111"/>
      <c r="N5" s="118"/>
      <c r="O5" s="111"/>
      <c r="P5" s="111"/>
      <c r="R5" s="119">
        <f>Lab_Rates!$C$6*Escalators!C7*(1+Escalators!C17)*Escalators!$G$32</f>
        <v>162.48739067582716</v>
      </c>
      <c r="S5" s="119">
        <f>Lab_Rates!$C$7*Escalators!C7*(1+Escalators!C17)*Escalators!$G$32</f>
        <v>151.79743076294375</v>
      </c>
      <c r="T5" s="119">
        <f>Lab_Rates!$C$8*Escalators!C7*(1+Escalators!C17)*Escalators!$G$32</f>
        <v>176.38433856257552</v>
      </c>
      <c r="U5" s="119">
        <f>Lab_Rates!$C$9*Escalators!C7*(1+Escalators!C17)*Escalators!$G$32</f>
        <v>229.83413812699234</v>
      </c>
      <c r="V5" s="119">
        <f>Lab_Rates!$C$6*Escalators!C7*(1+Escalators!C17)*Escalators!$G$32</f>
        <v>162.48739067582716</v>
      </c>
      <c r="W5" s="119">
        <f>Lab_Rates!$C$10*Escalators!C7*(1+Escalators!C17)*Escalators!$G$32</f>
        <v>162.48739067582716</v>
      </c>
      <c r="X5" s="119">
        <f>Lab_Rates!$C$5*Escalators!C7*(1+Escalators!C17)*Escalators!$G$32</f>
        <v>133.62449891104205</v>
      </c>
    </row>
    <row r="6" spans="2:37" x14ac:dyDescent="0.25">
      <c r="B6" s="120"/>
      <c r="C6" s="23"/>
      <c r="G6" s="121"/>
      <c r="H6" s="122"/>
      <c r="I6" s="123"/>
      <c r="K6" s="121"/>
      <c r="L6" s="121"/>
      <c r="M6" s="121"/>
      <c r="N6" s="236"/>
      <c r="O6" s="121"/>
      <c r="P6" s="237"/>
      <c r="R6" s="238"/>
      <c r="S6" s="238"/>
      <c r="T6" s="238"/>
      <c r="U6" s="238"/>
      <c r="V6" s="238"/>
      <c r="W6" s="238"/>
      <c r="X6" s="238"/>
    </row>
    <row r="7" spans="2:37" x14ac:dyDescent="0.25">
      <c r="B7" s="84" t="s">
        <v>343</v>
      </c>
      <c r="C7" s="23"/>
      <c r="D7" t="s">
        <v>1</v>
      </c>
      <c r="E7" t="s">
        <v>1</v>
      </c>
      <c r="G7" s="128"/>
      <c r="H7" s="129"/>
      <c r="I7" s="130"/>
      <c r="K7" s="131"/>
      <c r="L7" s="121">
        <f>SUMPRODUCT(R$5:X$5,R7:X7)/Thousands</f>
        <v>0</v>
      </c>
      <c r="M7" s="132">
        <v>450</v>
      </c>
      <c r="N7" s="132"/>
      <c r="O7" s="128"/>
      <c r="P7" s="126">
        <f t="shared" ref="P7" si="0">SUM(K7:O7)</f>
        <v>450</v>
      </c>
      <c r="Q7" s="133"/>
      <c r="R7" s="134"/>
      <c r="S7" s="135"/>
      <c r="T7" s="135"/>
      <c r="U7" s="135"/>
      <c r="V7" s="135"/>
      <c r="W7" s="135"/>
      <c r="X7" s="135"/>
    </row>
    <row r="8" spans="2:37" x14ac:dyDescent="0.25">
      <c r="B8" s="136"/>
      <c r="C8" s="325"/>
      <c r="D8" s="46"/>
      <c r="E8" s="46"/>
      <c r="F8" s="46"/>
      <c r="G8" s="137"/>
      <c r="H8" s="138"/>
      <c r="I8" s="139"/>
      <c r="K8" s="140"/>
      <c r="L8" s="140"/>
      <c r="M8" s="137"/>
      <c r="N8" s="141"/>
      <c r="O8" s="141"/>
      <c r="P8" s="142"/>
      <c r="Q8" s="133"/>
      <c r="R8" s="127"/>
      <c r="S8" s="127"/>
      <c r="T8" s="127"/>
      <c r="U8" s="127"/>
      <c r="V8" s="127"/>
      <c r="W8" s="127"/>
      <c r="X8" s="127"/>
    </row>
    <row r="9" spans="2:37" x14ac:dyDescent="0.25">
      <c r="B9" s="143" t="s">
        <v>288</v>
      </c>
      <c r="C9" s="324"/>
      <c r="D9" s="117"/>
      <c r="E9" s="117"/>
      <c r="F9" s="117"/>
      <c r="G9" s="144"/>
      <c r="H9" s="110"/>
      <c r="I9" s="111"/>
      <c r="K9" s="145"/>
      <c r="L9" s="145"/>
      <c r="M9" s="144"/>
      <c r="N9" s="146"/>
      <c r="O9" s="146"/>
      <c r="P9" s="147"/>
      <c r="Q9" s="108"/>
      <c r="R9" s="127"/>
      <c r="S9" s="127"/>
      <c r="T9" s="127"/>
      <c r="U9" s="127"/>
      <c r="V9" s="127"/>
      <c r="W9" s="127"/>
      <c r="X9" s="127"/>
    </row>
    <row r="10" spans="2:37" x14ac:dyDescent="0.25">
      <c r="B10" s="84"/>
      <c r="C10" s="23" t="s">
        <v>289</v>
      </c>
      <c r="D10" t="s">
        <v>1</v>
      </c>
      <c r="E10" t="s">
        <v>1</v>
      </c>
      <c r="G10" s="128"/>
      <c r="H10" s="129"/>
      <c r="I10" s="130"/>
      <c r="K10" s="148"/>
      <c r="L10" s="172">
        <f>SUMPRODUCT(R$5:X$5,R10:X10)/Thousands</f>
        <v>78.697346886664761</v>
      </c>
      <c r="M10" s="150"/>
      <c r="N10" s="150">
        <v>0</v>
      </c>
      <c r="O10" s="151"/>
      <c r="P10" s="126">
        <f>SUM(K10:O10)</f>
        <v>78.697346886664761</v>
      </c>
      <c r="Q10" s="152"/>
      <c r="R10" s="134">
        <v>398</v>
      </c>
      <c r="S10" s="134">
        <v>31</v>
      </c>
      <c r="T10" s="134">
        <v>32</v>
      </c>
      <c r="U10" s="134">
        <v>16</v>
      </c>
      <c r="V10" s="134"/>
      <c r="W10" s="134"/>
      <c r="X10" s="134"/>
      <c r="Y10" s="77">
        <f>SUM(R10:X10)</f>
        <v>477</v>
      </c>
      <c r="AA10" s="6"/>
      <c r="AB10" s="6"/>
      <c r="AC10" s="6"/>
      <c r="AD10" s="6"/>
      <c r="AE10" s="6"/>
      <c r="AF10" s="6"/>
      <c r="AG10" s="6"/>
      <c r="AK10" s="273"/>
    </row>
    <row r="11" spans="2:37" x14ac:dyDescent="0.25">
      <c r="B11" s="84"/>
      <c r="C11" s="23" t="s">
        <v>290</v>
      </c>
      <c r="D11" t="s">
        <v>1</v>
      </c>
      <c r="E11" t="s">
        <v>1</v>
      </c>
      <c r="G11" s="128"/>
      <c r="H11" s="129"/>
      <c r="I11" s="130"/>
      <c r="K11" s="148"/>
      <c r="L11" s="172">
        <f>SUMPRODUCT(R$5:X$5,R11:X11)/Thousands</f>
        <v>301.69846263734212</v>
      </c>
      <c r="M11" s="150"/>
      <c r="N11" s="132">
        <v>0</v>
      </c>
      <c r="O11" s="151"/>
      <c r="P11" s="126">
        <f>SUM(K11:O11)</f>
        <v>301.69846263734212</v>
      </c>
      <c r="Q11" s="133"/>
      <c r="R11" s="134">
        <v>96</v>
      </c>
      <c r="S11" s="134"/>
      <c r="T11" s="134">
        <v>472</v>
      </c>
      <c r="U11" s="134">
        <v>128</v>
      </c>
      <c r="V11" s="134">
        <v>261.5</v>
      </c>
      <c r="W11" s="134">
        <v>768</v>
      </c>
      <c r="X11" s="134">
        <v>46</v>
      </c>
      <c r="Y11" s="77">
        <f t="shared" ref="Y11:Y13" si="1">SUM(R11:X11)</f>
        <v>1771.5</v>
      </c>
      <c r="AA11" s="6"/>
      <c r="AB11" s="6"/>
      <c r="AC11" s="6"/>
      <c r="AD11" s="6"/>
      <c r="AE11" s="6"/>
      <c r="AF11" s="6"/>
      <c r="AG11" s="6"/>
      <c r="AK11" s="273"/>
    </row>
    <row r="12" spans="2:37" x14ac:dyDescent="0.25">
      <c r="B12" s="84"/>
      <c r="C12" s="23" t="s">
        <v>291</v>
      </c>
      <c r="D12" t="s">
        <v>1</v>
      </c>
      <c r="E12" t="s">
        <v>1</v>
      </c>
      <c r="G12" s="128"/>
      <c r="H12" s="129"/>
      <c r="I12" s="130"/>
      <c r="K12" s="148"/>
      <c r="L12" s="172">
        <f>SUMPRODUCT(R$5:X$5,R12:X12)/Thousands</f>
        <v>14.110747085006041</v>
      </c>
      <c r="M12" s="150"/>
      <c r="N12" s="150">
        <v>0</v>
      </c>
      <c r="O12" s="151"/>
      <c r="P12" s="126">
        <f>SUM(K12:O12)</f>
        <v>14.110747085006041</v>
      </c>
      <c r="Q12" s="152"/>
      <c r="R12" s="134"/>
      <c r="S12" s="134"/>
      <c r="T12" s="134">
        <v>80</v>
      </c>
      <c r="U12" s="134"/>
      <c r="V12" s="134"/>
      <c r="W12" s="134"/>
      <c r="X12" s="134"/>
      <c r="Y12" s="77">
        <f t="shared" si="1"/>
        <v>80</v>
      </c>
      <c r="AA12" s="6"/>
      <c r="AB12" s="6"/>
      <c r="AC12" s="6"/>
      <c r="AD12" s="6"/>
      <c r="AE12" s="6"/>
      <c r="AF12" s="6"/>
      <c r="AG12" s="6"/>
      <c r="AK12" s="273"/>
    </row>
    <row r="13" spans="2:37" x14ac:dyDescent="0.25">
      <c r="B13" s="84"/>
      <c r="C13" s="23" t="s">
        <v>292</v>
      </c>
      <c r="D13" t="s">
        <v>1</v>
      </c>
      <c r="E13" t="s">
        <v>1</v>
      </c>
      <c r="G13" s="128"/>
      <c r="H13" s="129"/>
      <c r="I13" s="130"/>
      <c r="K13" s="148"/>
      <c r="L13" s="149"/>
      <c r="M13" s="150"/>
      <c r="N13" s="150">
        <v>0</v>
      </c>
      <c r="O13" s="151"/>
      <c r="P13" s="126">
        <f>SUM(K13:O13)</f>
        <v>0</v>
      </c>
      <c r="Q13" s="133"/>
      <c r="R13" s="134"/>
      <c r="S13" s="134"/>
      <c r="T13" s="134"/>
      <c r="U13" s="134"/>
      <c r="V13" s="134"/>
      <c r="W13" s="134"/>
      <c r="X13" s="134"/>
      <c r="Y13" s="77">
        <f t="shared" si="1"/>
        <v>0</v>
      </c>
      <c r="AA13" s="6"/>
      <c r="AB13" s="6"/>
      <c r="AC13" s="6"/>
      <c r="AD13" s="6"/>
      <c r="AE13" s="6"/>
      <c r="AF13" s="6"/>
      <c r="AG13" s="6"/>
      <c r="AK13" s="273"/>
    </row>
    <row r="14" spans="2:37" x14ac:dyDescent="0.25">
      <c r="B14" s="136"/>
      <c r="C14" s="325"/>
      <c r="D14" s="46"/>
      <c r="E14" s="46"/>
      <c r="F14" s="46"/>
      <c r="G14" s="140"/>
      <c r="H14" s="138"/>
      <c r="I14" s="139"/>
      <c r="K14" s="154"/>
      <c r="L14" s="155"/>
      <c r="M14" s="155"/>
      <c r="N14" s="239"/>
      <c r="O14" s="154"/>
      <c r="P14" s="240"/>
      <c r="R14" s="238"/>
      <c r="S14" s="238"/>
      <c r="T14" s="238"/>
      <c r="U14" s="238"/>
      <c r="V14" s="238"/>
      <c r="W14" s="238"/>
      <c r="X14" s="238"/>
      <c r="AK14" s="273"/>
    </row>
    <row r="15" spans="2:37" x14ac:dyDescent="0.25">
      <c r="B15" s="143" t="s">
        <v>467</v>
      </c>
      <c r="C15" s="324"/>
      <c r="D15" s="117"/>
      <c r="E15" s="117"/>
      <c r="F15" s="117"/>
      <c r="G15" s="158"/>
      <c r="H15" s="116"/>
      <c r="I15" s="159"/>
      <c r="K15" s="160"/>
      <c r="L15" s="160"/>
      <c r="M15" s="160"/>
      <c r="N15" s="160"/>
      <c r="O15" s="160"/>
      <c r="P15" s="241"/>
      <c r="Q15" s="22"/>
      <c r="R15" s="242"/>
      <c r="S15" s="238"/>
      <c r="T15" s="238"/>
      <c r="U15" s="238"/>
      <c r="V15" s="238"/>
      <c r="W15" s="238"/>
      <c r="X15" s="238"/>
      <c r="AA15" s="5"/>
      <c r="AB15" s="5"/>
      <c r="AC15" s="5"/>
      <c r="AD15" s="5"/>
      <c r="AE15" s="5"/>
      <c r="AF15" s="5"/>
      <c r="AG15" s="5"/>
      <c r="AK15" s="273"/>
    </row>
    <row r="16" spans="2:37" x14ac:dyDescent="0.25">
      <c r="B16" s="120" t="s">
        <v>114</v>
      </c>
      <c r="C16" s="23"/>
      <c r="G16" s="166"/>
      <c r="H16" s="84"/>
      <c r="I16" s="167"/>
      <c r="J16" s="165"/>
      <c r="K16" s="149"/>
      <c r="L16" s="149"/>
      <c r="M16" s="149"/>
      <c r="N16" s="149"/>
      <c r="O16" s="149"/>
      <c r="P16" s="167"/>
      <c r="R16" s="238"/>
      <c r="S16" s="238"/>
      <c r="T16" s="238"/>
      <c r="U16" s="238"/>
      <c r="V16" s="238"/>
      <c r="W16" s="238"/>
      <c r="X16" s="238"/>
      <c r="AA16" s="5"/>
      <c r="AB16" s="5"/>
      <c r="AC16" s="5"/>
      <c r="AD16" s="5"/>
      <c r="AE16" s="5"/>
      <c r="AF16" s="5"/>
      <c r="AG16" s="5"/>
      <c r="AK16" s="273"/>
    </row>
    <row r="17" spans="2:37" x14ac:dyDescent="0.25">
      <c r="B17" s="84"/>
      <c r="C17" s="23" t="s">
        <v>122</v>
      </c>
      <c r="D17" s="23" t="str">
        <f>INDEX(Unit_Rates!$C$7:$K$113,MATCH($C17,Unit_Rates!$C$7:$C$113,0),5)</f>
        <v>Subtransmission</v>
      </c>
      <c r="E17" s="23" t="str">
        <f>INDEX(Unit_Rates!$C$7:$K$113,MATCH($C17,Unit_Rates!$C$7:$C$113,0),6)</f>
        <v>Augmentation</v>
      </c>
      <c r="F17" s="23" t="str">
        <f>D17&amp;E17</f>
        <v>SubtransmissionAugmentation</v>
      </c>
      <c r="G17" s="170">
        <f>INDEX(Unit_Rates!$C$7:$K$113,MATCH($C17,Unit_Rates!$C$7:$C$113,0),7)</f>
        <v>72.618999999999986</v>
      </c>
      <c r="H17" s="171"/>
      <c r="I17" s="123" t="s">
        <v>294</v>
      </c>
      <c r="J17" s="165"/>
      <c r="K17" s="172">
        <f>G17*$H17</f>
        <v>0</v>
      </c>
      <c r="L17" s="173">
        <f t="shared" ref="L17:L47" si="2">SUMPRODUCT(R$5:X$5,R17:X17)/Thousands</f>
        <v>0</v>
      </c>
      <c r="M17" s="174"/>
      <c r="N17" s="448"/>
      <c r="O17" s="448"/>
      <c r="P17" s="449"/>
      <c r="Q17" s="152">
        <f>P17-H17*VLOOKUP(C17,Unit_Rates!$C$7:$E$51,3,FALSE)</f>
        <v>0</v>
      </c>
      <c r="R17" s="243">
        <v>0</v>
      </c>
      <c r="S17" s="243">
        <v>0</v>
      </c>
      <c r="T17" s="243">
        <v>0</v>
      </c>
      <c r="U17" s="243">
        <v>0</v>
      </c>
      <c r="V17" s="243">
        <v>0</v>
      </c>
      <c r="W17" s="243">
        <v>0</v>
      </c>
      <c r="X17" s="243">
        <v>0</v>
      </c>
      <c r="Y17" s="77">
        <f t="shared" ref="Y17:Y44" si="3">SUM(R17:X17)</f>
        <v>0</v>
      </c>
      <c r="AA17" s="5"/>
      <c r="AB17" s="5"/>
      <c r="AC17" s="5"/>
      <c r="AD17" s="5"/>
      <c r="AE17" s="5"/>
      <c r="AF17" s="5"/>
      <c r="AG17" s="5"/>
      <c r="AK17" s="273"/>
    </row>
    <row r="18" spans="2:37" x14ac:dyDescent="0.25">
      <c r="B18" s="84"/>
      <c r="C18" s="23" t="s">
        <v>124</v>
      </c>
      <c r="D18" s="23" t="str">
        <f>INDEX(Unit_Rates!$C$7:$K$113,MATCH($C18,Unit_Rates!$C$7:$C$113,0),5)</f>
        <v>Subtransmission</v>
      </c>
      <c r="E18" s="23" t="str">
        <f>INDEX(Unit_Rates!$C$7:$K$113,MATCH($C18,Unit_Rates!$C$7:$C$113,0),6)</f>
        <v>Augmentation</v>
      </c>
      <c r="F18" s="23" t="str">
        <f t="shared" ref="F18:F47" si="4">D18&amp;E18</f>
        <v>SubtransmissionAugmentation</v>
      </c>
      <c r="G18" s="170">
        <f>INDEX(Unit_Rates!$C$7:$K$113,MATCH($C18,Unit_Rates!$C$7:$C$113,0),7)</f>
        <v>112.82799999999997</v>
      </c>
      <c r="H18" s="171"/>
      <c r="I18" s="123" t="s">
        <v>294</v>
      </c>
      <c r="J18" s="165"/>
      <c r="K18" s="172">
        <f>G18*$H18</f>
        <v>0</v>
      </c>
      <c r="L18" s="173">
        <f t="shared" si="2"/>
        <v>0</v>
      </c>
      <c r="M18" s="174"/>
      <c r="N18" s="448"/>
      <c r="O18" s="448"/>
      <c r="P18" s="449"/>
      <c r="Q18" s="152">
        <f>P18-H18*VLOOKUP(C18,Unit_Rates!$C$7:$E$51,3,FALSE)</f>
        <v>0</v>
      </c>
      <c r="R18" s="243">
        <v>0</v>
      </c>
      <c r="S18" s="243">
        <v>0</v>
      </c>
      <c r="T18" s="243">
        <v>0</v>
      </c>
      <c r="U18" s="243">
        <v>0</v>
      </c>
      <c r="V18" s="243">
        <v>0</v>
      </c>
      <c r="W18" s="243">
        <v>0</v>
      </c>
      <c r="X18" s="243">
        <v>0</v>
      </c>
      <c r="Y18" s="77">
        <f t="shared" si="3"/>
        <v>0</v>
      </c>
      <c r="AA18" s="5"/>
      <c r="AB18" s="5"/>
      <c r="AC18" s="5"/>
      <c r="AD18" s="5"/>
      <c r="AE18" s="5"/>
      <c r="AF18" s="5"/>
      <c r="AG18" s="5"/>
      <c r="AK18" s="273"/>
    </row>
    <row r="19" spans="2:37" x14ac:dyDescent="0.25">
      <c r="B19" s="84"/>
      <c r="C19" s="23" t="s">
        <v>473</v>
      </c>
      <c r="D19" s="23" t="str">
        <f>INDEX(Unit_Rates!$C$7:$K$113,MATCH($C19,Unit_Rates!$C$7:$C$113,0),5)</f>
        <v>Subtransmission</v>
      </c>
      <c r="E19" s="23" t="str">
        <f>INDEX(Unit_Rates!$C$7:$K$113,MATCH($C19,Unit_Rates!$C$7:$C$113,0),6)</f>
        <v>Augmentation</v>
      </c>
      <c r="F19" s="23" t="str">
        <f t="shared" ref="F19" si="5">D19&amp;E19</f>
        <v>SubtransmissionAugmentation</v>
      </c>
      <c r="G19" s="170">
        <f>INDEX(Unit_Rates!$C$7:$K$113,MATCH($C19,Unit_Rates!$C$7:$C$113,0),7)</f>
        <v>907.54355555038592</v>
      </c>
      <c r="H19" s="171">
        <v>1</v>
      </c>
      <c r="I19" s="123" t="s">
        <v>294</v>
      </c>
      <c r="J19" s="165"/>
      <c r="K19" s="172">
        <f>G19*$H19</f>
        <v>907.54355555038592</v>
      </c>
      <c r="L19" s="173">
        <f t="shared" ref="L19" si="6">SUMPRODUCT(R$5:X$5,R19:X19)/Thousands</f>
        <v>0</v>
      </c>
      <c r="M19" s="174"/>
      <c r="N19" s="448"/>
      <c r="O19" s="448"/>
      <c r="P19" s="449"/>
      <c r="Q19" s="152">
        <f>P19-H19*VLOOKUP(C19,Unit_Rates!$C$7:$E$51,3,FALSE)</f>
        <v>0</v>
      </c>
      <c r="R19" s="243">
        <v>0</v>
      </c>
      <c r="S19" s="243">
        <v>0</v>
      </c>
      <c r="T19" s="243">
        <v>0</v>
      </c>
      <c r="U19" s="243">
        <v>0</v>
      </c>
      <c r="V19" s="243">
        <v>0</v>
      </c>
      <c r="W19" s="243">
        <v>0</v>
      </c>
      <c r="X19" s="243">
        <v>0</v>
      </c>
      <c r="Y19" s="77">
        <f t="shared" ref="Y19" si="7">SUM(R19:X19)</f>
        <v>0</v>
      </c>
      <c r="AK19" s="273"/>
    </row>
    <row r="20" spans="2:37" x14ac:dyDescent="0.25">
      <c r="B20" s="84"/>
      <c r="C20" s="23" t="s">
        <v>126</v>
      </c>
      <c r="D20" s="23" t="str">
        <f>INDEX(Unit_Rates!$C$7:$K$113,MATCH($C20,Unit_Rates!$C$7:$C$113,0),5)</f>
        <v>Subtransmission</v>
      </c>
      <c r="E20" s="23" t="str">
        <f>INDEX(Unit_Rates!$C$7:$K$113,MATCH($C20,Unit_Rates!$C$7:$C$113,0),6)</f>
        <v>Augmentation</v>
      </c>
      <c r="F20" s="23" t="str">
        <f t="shared" si="4"/>
        <v>SubtransmissionAugmentation</v>
      </c>
      <c r="G20" s="170">
        <f>INDEX(Unit_Rates!$C$7:$K$113,MATCH($C20,Unit_Rates!$C$7:$C$113,0),7)</f>
        <v>465.00233333333324</v>
      </c>
      <c r="H20" s="171"/>
      <c r="I20" s="123" t="s">
        <v>294</v>
      </c>
      <c r="J20" s="165"/>
      <c r="K20" s="172">
        <f>G20*$H20</f>
        <v>0</v>
      </c>
      <c r="L20" s="173">
        <f t="shared" si="2"/>
        <v>0</v>
      </c>
      <c r="M20" s="174"/>
      <c r="N20" s="448"/>
      <c r="O20" s="448"/>
      <c r="P20" s="449"/>
      <c r="Q20" s="152">
        <f>P20-H20*VLOOKUP(C20,Unit_Rates!$C$7:$E$51,3,FALSE)</f>
        <v>0</v>
      </c>
      <c r="R20" s="243">
        <v>0</v>
      </c>
      <c r="S20" s="243">
        <v>0</v>
      </c>
      <c r="T20" s="243">
        <v>0</v>
      </c>
      <c r="U20" s="243">
        <v>0</v>
      </c>
      <c r="V20" s="243">
        <v>0</v>
      </c>
      <c r="W20" s="243">
        <v>0</v>
      </c>
      <c r="X20" s="243">
        <v>0</v>
      </c>
      <c r="Y20" s="77">
        <f t="shared" si="3"/>
        <v>0</v>
      </c>
      <c r="AK20" s="273"/>
    </row>
    <row r="21" spans="2:37" x14ac:dyDescent="0.25">
      <c r="B21" s="315"/>
      <c r="C21" s="23" t="s">
        <v>436</v>
      </c>
      <c r="D21" s="411" t="s">
        <v>3</v>
      </c>
      <c r="E21" s="23" t="str">
        <f>Unit_Rates!H$129</f>
        <v>Augmentation</v>
      </c>
      <c r="F21" s="23" t="str">
        <f t="shared" si="4"/>
        <v>SubtransmissionAugmentation</v>
      </c>
      <c r="G21" s="170">
        <f>Unit_Rates!I$149</f>
        <v>37.603922249219011</v>
      </c>
      <c r="H21" s="171">
        <v>2</v>
      </c>
      <c r="I21" s="308" t="s">
        <v>294</v>
      </c>
      <c r="J21" s="108"/>
      <c r="K21" s="172">
        <f t="shared" ref="K21" si="8">G21*H21</f>
        <v>75.207844498438021</v>
      </c>
      <c r="L21" s="173">
        <f t="shared" si="2"/>
        <v>19.997953149681493</v>
      </c>
      <c r="M21" s="174">
        <f>$H21*Unit_Rates!K$149</f>
        <v>19.171600927277439</v>
      </c>
      <c r="N21" s="446"/>
      <c r="O21" s="446"/>
      <c r="P21" s="446"/>
      <c r="Q21" s="314">
        <f>P21-H21*VLOOKUP(C21,Unit_Rates!$C$7:$E$149,3,FALSE)</f>
        <v>-245.35621582430787</v>
      </c>
      <c r="R21" s="134">
        <f>$H21*Z21*Unit_Rates!$J$149*1000/R$5</f>
        <v>37.30975141278013</v>
      </c>
      <c r="S21" s="134">
        <f>$H21*AA21*Unit_Rates!$J$149*1000/S$5</f>
        <v>42.749677476734398</v>
      </c>
      <c r="T21" s="134">
        <f>$H21*AB21*Unit_Rates!$J$149*1000/T$5</f>
        <v>42.2163206190816</v>
      </c>
      <c r="U21" s="134">
        <v>0</v>
      </c>
      <c r="V21" s="134">
        <v>0</v>
      </c>
      <c r="W21" s="134">
        <v>0</v>
      </c>
      <c r="X21" s="134">
        <v>0</v>
      </c>
      <c r="Y21" s="304">
        <f t="shared" si="3"/>
        <v>122.27574950859612</v>
      </c>
      <c r="Z21" s="6">
        <v>0.30314923274650007</v>
      </c>
      <c r="AA21" s="6">
        <v>0.32449777026385923</v>
      </c>
      <c r="AB21" s="407">
        <v>0.37235299698964058</v>
      </c>
      <c r="AC21" s="6"/>
      <c r="AD21" s="6"/>
      <c r="AE21" s="6"/>
      <c r="AF21" s="6"/>
      <c r="AG21" s="8"/>
      <c r="AI21" s="96"/>
      <c r="AK21" s="349"/>
    </row>
    <row r="22" spans="2:37" x14ac:dyDescent="0.25">
      <c r="B22" s="84"/>
      <c r="C22" s="23" t="s">
        <v>128</v>
      </c>
      <c r="D22" s="23" t="str">
        <f>D18</f>
        <v>Subtransmission</v>
      </c>
      <c r="E22" s="23" t="str">
        <f>E18</f>
        <v>Augmentation</v>
      </c>
      <c r="F22" s="23" t="str">
        <f t="shared" si="4"/>
        <v>SubtransmissionAugmentation</v>
      </c>
      <c r="G22" s="170">
        <f>INDEX(Unit_Rates!$C$7:$K$113,MATCH($C22,Unit_Rates!$C$7:$C$113,0),7)</f>
        <v>39.294999999999995</v>
      </c>
      <c r="H22" s="171"/>
      <c r="I22" s="175" t="s">
        <v>294</v>
      </c>
      <c r="J22" s="176"/>
      <c r="K22" s="177">
        <f>G22*$H22</f>
        <v>0</v>
      </c>
      <c r="L22" s="177">
        <f t="shared" si="2"/>
        <v>0</v>
      </c>
      <c r="M22" s="178"/>
      <c r="N22" s="448"/>
      <c r="O22" s="448"/>
      <c r="P22" s="450"/>
      <c r="Q22" s="152">
        <f>P22-H22*VLOOKUP(C22,Unit_Rates!$C$7:$E$51,3,FALSE)</f>
        <v>0</v>
      </c>
      <c r="R22" s="243">
        <v>0</v>
      </c>
      <c r="S22" s="243">
        <v>0</v>
      </c>
      <c r="T22" s="243">
        <v>0</v>
      </c>
      <c r="U22" s="243">
        <v>0</v>
      </c>
      <c r="V22" s="243">
        <v>0</v>
      </c>
      <c r="W22" s="243">
        <v>0</v>
      </c>
      <c r="X22" s="243">
        <v>0</v>
      </c>
      <c r="Y22" s="77">
        <f t="shared" si="3"/>
        <v>0</v>
      </c>
      <c r="AA22" s="5"/>
      <c r="AB22" s="5"/>
      <c r="AC22" s="5"/>
      <c r="AD22" s="5"/>
      <c r="AE22" s="5"/>
      <c r="AF22" s="5"/>
      <c r="AG22" s="5"/>
      <c r="AK22" s="273"/>
    </row>
    <row r="23" spans="2:37" x14ac:dyDescent="0.25">
      <c r="B23" s="84"/>
      <c r="C23" s="23" t="s">
        <v>130</v>
      </c>
      <c r="D23" s="23" t="str">
        <f>INDEX(Unit_Rates!$C$7:$K$113,MATCH($C23,Unit_Rates!$C$7:$C$113,0),5)</f>
        <v>Subtransmission</v>
      </c>
      <c r="E23" s="23" t="str">
        <f>INDEX(Unit_Rates!$C$7:$K$113,MATCH($C23,Unit_Rates!$C$7:$C$113,0),6)</f>
        <v>Augmentation</v>
      </c>
      <c r="F23" s="23" t="str">
        <f t="shared" si="4"/>
        <v>SubtransmissionAugmentation</v>
      </c>
      <c r="G23" s="170">
        <f>INDEX(Unit_Rates!$C$7:$K$113,MATCH($C23,Unit_Rates!$C$7:$C$113,0),7)</f>
        <v>42.974999999999994</v>
      </c>
      <c r="H23" s="171"/>
      <c r="I23" s="123" t="s">
        <v>294</v>
      </c>
      <c r="J23" s="165"/>
      <c r="K23" s="172">
        <f>G23*H23</f>
        <v>0</v>
      </c>
      <c r="L23" s="173">
        <f t="shared" si="2"/>
        <v>0</v>
      </c>
      <c r="M23" s="174"/>
      <c r="N23" s="448"/>
      <c r="O23" s="448"/>
      <c r="P23" s="449"/>
      <c r="Q23" s="152">
        <f>P23-H23*VLOOKUP(C23,Unit_Rates!$C$7:$E$51,3,FALSE)</f>
        <v>0</v>
      </c>
      <c r="R23" s="243">
        <v>0</v>
      </c>
      <c r="S23" s="243">
        <v>0</v>
      </c>
      <c r="T23" s="243">
        <v>0</v>
      </c>
      <c r="U23" s="243">
        <v>0</v>
      </c>
      <c r="V23" s="243">
        <v>0</v>
      </c>
      <c r="W23" s="243">
        <v>0</v>
      </c>
      <c r="X23" s="243">
        <v>0</v>
      </c>
      <c r="Y23" s="77">
        <f t="shared" si="3"/>
        <v>0</v>
      </c>
      <c r="AA23" s="5"/>
      <c r="AB23" s="5"/>
      <c r="AC23" s="5"/>
      <c r="AD23" s="5"/>
      <c r="AE23" s="5"/>
      <c r="AF23" s="5"/>
      <c r="AG23" s="5"/>
    </row>
    <row r="24" spans="2:37" x14ac:dyDescent="0.25">
      <c r="B24" s="84"/>
      <c r="C24" s="23" t="s">
        <v>132</v>
      </c>
      <c r="D24" s="23" t="str">
        <f>INDEX(Unit_Rates!$C$7:$K$113,MATCH($C24,Unit_Rates!$C$7:$C$113,0),5)</f>
        <v>Subtransmission</v>
      </c>
      <c r="E24" s="23" t="str">
        <f>INDEX(Unit_Rates!$C$7:$K$113,MATCH($C24,Unit_Rates!$C$7:$C$113,0),6)</f>
        <v>Augmentation</v>
      </c>
      <c r="F24" s="23" t="str">
        <f t="shared" si="4"/>
        <v>SubtransmissionAugmentation</v>
      </c>
      <c r="G24" s="170">
        <f>INDEX(Unit_Rates!$C$7:$K$113,MATCH($C24,Unit_Rates!$C$7:$C$113,0),7)</f>
        <v>0</v>
      </c>
      <c r="H24" s="171"/>
      <c r="I24" s="123" t="s">
        <v>294</v>
      </c>
      <c r="J24" s="165"/>
      <c r="K24" s="172">
        <f>G24*H24</f>
        <v>0</v>
      </c>
      <c r="L24" s="173">
        <f t="shared" si="2"/>
        <v>0</v>
      </c>
      <c r="M24" s="174"/>
      <c r="N24" s="448"/>
      <c r="O24" s="448"/>
      <c r="P24" s="449"/>
      <c r="Q24" s="152">
        <f>P24-H24*VLOOKUP(C24,Unit_Rates!$C$7:$E$51,3,FALSE)</f>
        <v>0</v>
      </c>
      <c r="R24" s="243">
        <v>0</v>
      </c>
      <c r="S24" s="243">
        <v>0</v>
      </c>
      <c r="T24" s="243">
        <v>0</v>
      </c>
      <c r="U24" s="243">
        <v>0</v>
      </c>
      <c r="V24" s="243">
        <v>0</v>
      </c>
      <c r="W24" s="243">
        <v>0</v>
      </c>
      <c r="X24" s="243">
        <v>0</v>
      </c>
      <c r="Y24" s="77">
        <f t="shared" si="3"/>
        <v>0</v>
      </c>
      <c r="AA24" s="5"/>
      <c r="AB24" s="5"/>
      <c r="AC24" s="5"/>
      <c r="AD24" s="5"/>
      <c r="AE24" s="5"/>
      <c r="AF24" s="5"/>
      <c r="AG24" s="5"/>
    </row>
    <row r="25" spans="2:37" x14ac:dyDescent="0.25">
      <c r="B25" s="84"/>
      <c r="C25" s="23" t="s">
        <v>133</v>
      </c>
      <c r="D25" s="23" t="str">
        <f>INDEX(Unit_Rates!$C$7:$K$113,MATCH($C25,Unit_Rates!$C$7:$C$113,0),5)</f>
        <v>SCADA/Network control</v>
      </c>
      <c r="E25" s="23" t="str">
        <f>INDEX(Unit_Rates!$C$7:$K$113,MATCH($C25,Unit_Rates!$C$7:$C$113,0),6)</f>
        <v>Augmentation</v>
      </c>
      <c r="F25" s="23" t="str">
        <f t="shared" si="4"/>
        <v>SCADA/Network controlAugmentation</v>
      </c>
      <c r="G25" s="170">
        <f>INDEX(Unit_Rates!$C$7:$K$113,MATCH($C25,Unit_Rates!$C$7:$C$113,0),7)</f>
        <v>1158.2999999999995</v>
      </c>
      <c r="H25" s="171"/>
      <c r="I25" s="123" t="s">
        <v>294</v>
      </c>
      <c r="J25" s="165"/>
      <c r="K25" s="172">
        <f>G25*H25</f>
        <v>0</v>
      </c>
      <c r="L25" s="173">
        <f t="shared" si="2"/>
        <v>0</v>
      </c>
      <c r="M25" s="174"/>
      <c r="N25" s="448"/>
      <c r="O25" s="448"/>
      <c r="P25" s="449"/>
      <c r="Q25" s="152">
        <f>P25-H25*VLOOKUP(C25,Unit_Rates!$C$7:$E$51,3,FALSE)</f>
        <v>0</v>
      </c>
      <c r="R25" s="243">
        <v>0</v>
      </c>
      <c r="S25" s="243">
        <v>0</v>
      </c>
      <c r="T25" s="243">
        <v>0</v>
      </c>
      <c r="U25" s="243">
        <v>0</v>
      </c>
      <c r="V25" s="243">
        <v>0</v>
      </c>
      <c r="W25" s="243">
        <v>0</v>
      </c>
      <c r="X25" s="243">
        <v>0</v>
      </c>
      <c r="Y25" s="77">
        <f t="shared" si="3"/>
        <v>0</v>
      </c>
      <c r="AA25" s="5"/>
      <c r="AB25" s="5"/>
      <c r="AC25" s="5"/>
      <c r="AD25" s="5"/>
      <c r="AE25" s="5"/>
      <c r="AF25" s="5"/>
      <c r="AG25" s="5"/>
    </row>
    <row r="26" spans="2:37" x14ac:dyDescent="0.25">
      <c r="B26" s="84"/>
      <c r="C26" s="23" t="s">
        <v>135</v>
      </c>
      <c r="D26" s="23" t="str">
        <f>INDEX(Unit_Rates!$C$7:$K$113,MATCH($C26,Unit_Rates!$C$7:$C$113,0),5)</f>
        <v>Subtransmission</v>
      </c>
      <c r="E26" s="23" t="str">
        <f>INDEX(Unit_Rates!$C$7:$K$113,MATCH($C26,Unit_Rates!$C$7:$C$113,0),6)</f>
        <v>Augmentation</v>
      </c>
      <c r="F26" s="23" t="str">
        <f t="shared" si="4"/>
        <v>SubtransmissionAugmentation</v>
      </c>
      <c r="G26" s="170">
        <f>INDEX(Unit_Rates!$C$7:$K$113,MATCH($C26,Unit_Rates!$C$7:$C$113,0),7)</f>
        <v>0</v>
      </c>
      <c r="H26" s="171"/>
      <c r="I26" s="123" t="s">
        <v>294</v>
      </c>
      <c r="J26" s="165"/>
      <c r="K26" s="172">
        <f>G26*H26</f>
        <v>0</v>
      </c>
      <c r="L26" s="173">
        <f t="shared" si="2"/>
        <v>0</v>
      </c>
      <c r="M26" s="174"/>
      <c r="N26" s="448"/>
      <c r="O26" s="448"/>
      <c r="P26" s="449"/>
      <c r="Q26" s="152">
        <f>P26-H26*VLOOKUP(C26,Unit_Rates!$C$7:$E$51,3,FALSE)</f>
        <v>0</v>
      </c>
      <c r="R26" s="243">
        <v>0</v>
      </c>
      <c r="S26" s="243">
        <v>0</v>
      </c>
      <c r="T26" s="243">
        <v>0</v>
      </c>
      <c r="U26" s="243">
        <v>0</v>
      </c>
      <c r="V26" s="243">
        <v>0</v>
      </c>
      <c r="W26" s="243">
        <v>0</v>
      </c>
      <c r="X26" s="243">
        <v>0</v>
      </c>
      <c r="Y26" s="77">
        <f t="shared" si="3"/>
        <v>0</v>
      </c>
    </row>
    <row r="27" spans="2:37" x14ac:dyDescent="0.25">
      <c r="B27" s="84"/>
      <c r="C27" s="23" t="s">
        <v>137</v>
      </c>
      <c r="D27" s="23" t="str">
        <f>INDEX(Unit_Rates!$C$7:$K$113,MATCH($C27,Unit_Rates!$C$7:$C$113,0),5)</f>
        <v>Subtransmission</v>
      </c>
      <c r="E27" s="23" t="str">
        <f>INDEX(Unit_Rates!$C$7:$K$113,MATCH($C27,Unit_Rates!$C$7:$C$113,0),6)</f>
        <v>Augmentation</v>
      </c>
      <c r="F27" s="23" t="str">
        <f t="shared" si="4"/>
        <v>SubtransmissionAugmentation</v>
      </c>
      <c r="G27" s="170">
        <f>INDEX(Unit_Rates!$C$7:$K$113,MATCH($C27,Unit_Rates!$C$7:$C$113,0),7)</f>
        <v>1353.9999999999995</v>
      </c>
      <c r="H27" s="171"/>
      <c r="I27" s="123" t="s">
        <v>294</v>
      </c>
      <c r="J27" s="165"/>
      <c r="K27" s="172">
        <f t="shared" ref="K27:K47" si="9">G27*H27</f>
        <v>0</v>
      </c>
      <c r="L27" s="173">
        <f t="shared" si="2"/>
        <v>0</v>
      </c>
      <c r="M27" s="174"/>
      <c r="N27" s="448"/>
      <c r="O27" s="448"/>
      <c r="P27" s="449"/>
      <c r="Q27" s="152">
        <f>P27-H27*VLOOKUP(C27,Unit_Rates!$C$7:$E$51,3,FALSE)</f>
        <v>0</v>
      </c>
      <c r="R27" s="243">
        <v>0</v>
      </c>
      <c r="S27" s="243">
        <v>0</v>
      </c>
      <c r="T27" s="243">
        <v>0</v>
      </c>
      <c r="U27" s="243">
        <v>0</v>
      </c>
      <c r="V27" s="243">
        <v>0</v>
      </c>
      <c r="W27" s="243">
        <v>0</v>
      </c>
      <c r="X27" s="243">
        <v>0</v>
      </c>
      <c r="Y27" s="77">
        <f t="shared" si="3"/>
        <v>0</v>
      </c>
    </row>
    <row r="28" spans="2:37" x14ac:dyDescent="0.25">
      <c r="B28" s="84"/>
      <c r="C28" s="23" t="s">
        <v>139</v>
      </c>
      <c r="D28" s="23" t="str">
        <f>INDEX(Unit_Rates!$C$7:$K$113,MATCH($C28,Unit_Rates!$C$7:$C$113,0),5)</f>
        <v>Subtransmission</v>
      </c>
      <c r="E28" s="23" t="str">
        <f>INDEX(Unit_Rates!$C$7:$K$113,MATCH($C28,Unit_Rates!$C$7:$C$113,0),6)</f>
        <v>Augmentation</v>
      </c>
      <c r="F28" s="23" t="str">
        <f t="shared" si="4"/>
        <v>SubtransmissionAugmentation</v>
      </c>
      <c r="G28" s="170">
        <f>INDEX(Unit_Rates!$C$7:$K$113,MATCH($C28,Unit_Rates!$C$7:$C$113,0),7)</f>
        <v>1461.1162790697672</v>
      </c>
      <c r="H28" s="171"/>
      <c r="I28" s="123" t="s">
        <v>294</v>
      </c>
      <c r="J28" s="165"/>
      <c r="K28" s="172">
        <f t="shared" si="9"/>
        <v>0</v>
      </c>
      <c r="L28" s="173">
        <f t="shared" si="2"/>
        <v>0</v>
      </c>
      <c r="M28" s="174"/>
      <c r="N28" s="448"/>
      <c r="O28" s="448"/>
      <c r="P28" s="449"/>
      <c r="Q28" s="152">
        <f>P28-H28*VLOOKUP(C28,Unit_Rates!$C$7:$E$51,3,FALSE)</f>
        <v>0</v>
      </c>
      <c r="R28" s="243">
        <v>0</v>
      </c>
      <c r="S28" s="243">
        <v>0</v>
      </c>
      <c r="T28" s="243">
        <v>0</v>
      </c>
      <c r="U28" s="243">
        <v>0</v>
      </c>
      <c r="V28" s="243">
        <v>0</v>
      </c>
      <c r="W28" s="243">
        <v>0</v>
      </c>
      <c r="X28" s="243">
        <v>0</v>
      </c>
      <c r="Y28" s="77">
        <f t="shared" si="3"/>
        <v>0</v>
      </c>
    </row>
    <row r="29" spans="2:37" x14ac:dyDescent="0.25">
      <c r="B29" s="84"/>
      <c r="C29" s="23" t="s">
        <v>141</v>
      </c>
      <c r="D29" s="23" t="str">
        <f>INDEX(Unit_Rates!$C$7:$K$113,MATCH($C29,Unit_Rates!$C$7:$C$113,0),5)</f>
        <v>Subtransmission</v>
      </c>
      <c r="E29" s="23" t="str">
        <f>INDEX(Unit_Rates!$C$7:$K$113,MATCH($C29,Unit_Rates!$C$7:$C$113,0),6)</f>
        <v>Augmentation</v>
      </c>
      <c r="F29" s="23" t="str">
        <f t="shared" si="4"/>
        <v>SubtransmissionAugmentation</v>
      </c>
      <c r="G29" s="170">
        <f>INDEX(Unit_Rates!$C$7:$K$113,MATCH($C29,Unit_Rates!$C$7:$C$113,0),7)</f>
        <v>699.99999999999989</v>
      </c>
      <c r="H29" s="171"/>
      <c r="I29" s="123" t="s">
        <v>294</v>
      </c>
      <c r="J29" s="165"/>
      <c r="K29" s="172">
        <f t="shared" si="9"/>
        <v>0</v>
      </c>
      <c r="L29" s="173">
        <f t="shared" si="2"/>
        <v>0</v>
      </c>
      <c r="M29" s="174"/>
      <c r="N29" s="448"/>
      <c r="O29" s="448"/>
      <c r="P29" s="449"/>
      <c r="Q29" s="152">
        <f>P29-H29*VLOOKUP(C29,Unit_Rates!$C$7:$E$51,3,FALSE)</f>
        <v>0</v>
      </c>
      <c r="R29" s="243">
        <v>0</v>
      </c>
      <c r="S29" s="243">
        <v>0</v>
      </c>
      <c r="T29" s="243">
        <v>0</v>
      </c>
      <c r="U29" s="243">
        <v>0</v>
      </c>
      <c r="V29" s="243">
        <v>0</v>
      </c>
      <c r="W29" s="243">
        <v>0</v>
      </c>
      <c r="X29" s="243">
        <v>0</v>
      </c>
      <c r="Y29" s="77">
        <f t="shared" si="3"/>
        <v>0</v>
      </c>
    </row>
    <row r="30" spans="2:37" x14ac:dyDescent="0.25">
      <c r="B30" s="84"/>
      <c r="C30" s="23" t="s">
        <v>147</v>
      </c>
      <c r="D30" s="23" t="str">
        <f>INDEX(Unit_Rates!$C$7:$K$113,MATCH($C30,Unit_Rates!$C$7:$C$113,0),5)</f>
        <v>Subtransmission</v>
      </c>
      <c r="E30" s="23" t="str">
        <f>INDEX(Unit_Rates!$C$7:$K$113,MATCH($C30,Unit_Rates!$C$7:$C$113,0),6)</f>
        <v>Augmentation</v>
      </c>
      <c r="F30" s="23" t="str">
        <f t="shared" si="4"/>
        <v>SubtransmissionAugmentation</v>
      </c>
      <c r="G30" s="170">
        <f>INDEX(Unit_Rates!$C$7:$K$113,MATCH($C30,Unit_Rates!$C$7:$C$113,0),7)</f>
        <v>91.292437209302321</v>
      </c>
      <c r="H30" s="171"/>
      <c r="I30" s="123" t="s">
        <v>294</v>
      </c>
      <c r="J30" s="165"/>
      <c r="K30" s="172">
        <f t="shared" si="9"/>
        <v>0</v>
      </c>
      <c r="L30" s="173">
        <f t="shared" si="2"/>
        <v>0</v>
      </c>
      <c r="M30" s="174"/>
      <c r="N30" s="448"/>
      <c r="O30" s="448"/>
      <c r="P30" s="449"/>
      <c r="Q30" s="152">
        <f>P30-H30*VLOOKUP(C30,Unit_Rates!$C$7:$E$51,3,FALSE)</f>
        <v>0</v>
      </c>
      <c r="R30" s="243">
        <v>0</v>
      </c>
      <c r="S30" s="243">
        <v>0</v>
      </c>
      <c r="T30" s="243">
        <v>0</v>
      </c>
      <c r="U30" s="243">
        <v>0</v>
      </c>
      <c r="V30" s="243">
        <v>0</v>
      </c>
      <c r="W30" s="243">
        <v>0</v>
      </c>
      <c r="X30" s="243">
        <v>0</v>
      </c>
      <c r="Y30" s="77">
        <f t="shared" si="3"/>
        <v>0</v>
      </c>
    </row>
    <row r="31" spans="2:37" x14ac:dyDescent="0.25">
      <c r="B31" s="84"/>
      <c r="C31" s="23" t="s">
        <v>149</v>
      </c>
      <c r="D31" s="23" t="str">
        <f>INDEX(Unit_Rates!$C$7:$K$113,MATCH($C31,Unit_Rates!$C$7:$C$113,0),5)</f>
        <v>Subtransmission</v>
      </c>
      <c r="E31" s="23" t="str">
        <f>INDEX(Unit_Rates!$C$7:$K$113,MATCH($C31,Unit_Rates!$C$7:$C$113,0),6)</f>
        <v>Augmentation</v>
      </c>
      <c r="F31" s="23" t="str">
        <f t="shared" si="4"/>
        <v>SubtransmissionAugmentation</v>
      </c>
      <c r="G31" s="170">
        <f>INDEX(Unit_Rates!$C$7:$K$113,MATCH($C31,Unit_Rates!$C$7:$C$113,0),7)</f>
        <v>0</v>
      </c>
      <c r="H31" s="171"/>
      <c r="I31" s="123" t="s">
        <v>294</v>
      </c>
      <c r="J31" s="165"/>
      <c r="K31" s="172">
        <f t="shared" si="9"/>
        <v>0</v>
      </c>
      <c r="L31" s="173">
        <f t="shared" si="2"/>
        <v>0</v>
      </c>
      <c r="M31" s="174"/>
      <c r="N31" s="448"/>
      <c r="O31" s="448"/>
      <c r="P31" s="449"/>
      <c r="Q31" s="152">
        <f>P31-H31*VLOOKUP(C31,Unit_Rates!$C$7:$E$51,3,FALSE)</f>
        <v>0</v>
      </c>
      <c r="R31" s="243">
        <v>0</v>
      </c>
      <c r="S31" s="243">
        <v>0</v>
      </c>
      <c r="T31" s="243">
        <v>0</v>
      </c>
      <c r="U31" s="243">
        <v>0</v>
      </c>
      <c r="V31" s="243">
        <v>0</v>
      </c>
      <c r="W31" s="243">
        <v>0</v>
      </c>
      <c r="X31" s="243">
        <v>0</v>
      </c>
      <c r="Y31" s="77">
        <f t="shared" si="3"/>
        <v>0</v>
      </c>
    </row>
    <row r="32" spans="2:37" x14ac:dyDescent="0.25">
      <c r="B32" s="84"/>
      <c r="C32" s="23" t="s">
        <v>150</v>
      </c>
      <c r="D32" s="23" t="str">
        <f>INDEX(Unit_Rates!$C$7:$K$113,MATCH($C32,Unit_Rates!$C$7:$C$113,0),5)</f>
        <v>Subtransmission</v>
      </c>
      <c r="E32" s="23" t="str">
        <f>INDEX(Unit_Rates!$C$7:$K$113,MATCH($C32,Unit_Rates!$C$7:$C$113,0),6)</f>
        <v>Augmentation</v>
      </c>
      <c r="F32" s="23" t="str">
        <f t="shared" si="4"/>
        <v>SubtransmissionAugmentation</v>
      </c>
      <c r="G32" s="170">
        <f>INDEX(Unit_Rates!$C$7:$K$113,MATCH($C32,Unit_Rates!$C$7:$C$113,0),7)</f>
        <v>107.00599999999997</v>
      </c>
      <c r="H32" s="171"/>
      <c r="I32" s="123" t="s">
        <v>294</v>
      </c>
      <c r="J32" s="165"/>
      <c r="K32" s="172">
        <f t="shared" si="9"/>
        <v>0</v>
      </c>
      <c r="L32" s="173">
        <f t="shared" si="2"/>
        <v>0</v>
      </c>
      <c r="M32" s="174"/>
      <c r="N32" s="448"/>
      <c r="O32" s="448"/>
      <c r="P32" s="449"/>
      <c r="Q32" s="152">
        <f>P32-H32*VLOOKUP(C32,Unit_Rates!$C$7:$E$51,3,FALSE)</f>
        <v>0</v>
      </c>
      <c r="R32" s="243">
        <v>0</v>
      </c>
      <c r="S32" s="243">
        <v>0</v>
      </c>
      <c r="T32" s="243">
        <v>0</v>
      </c>
      <c r="U32" s="243">
        <v>0</v>
      </c>
      <c r="V32" s="243">
        <v>0</v>
      </c>
      <c r="W32" s="243">
        <v>0</v>
      </c>
      <c r="X32" s="243">
        <v>0</v>
      </c>
      <c r="Y32" s="77">
        <f t="shared" si="3"/>
        <v>0</v>
      </c>
    </row>
    <row r="33" spans="2:25" x14ac:dyDescent="0.25">
      <c r="B33" s="84"/>
      <c r="C33" s="23" t="s">
        <v>152</v>
      </c>
      <c r="D33" s="23" t="str">
        <f>INDEX(Unit_Rates!$C$7:$K$113,MATCH($C33,Unit_Rates!$C$7:$C$113,0),5)</f>
        <v>Subtransmission</v>
      </c>
      <c r="E33" s="23" t="str">
        <f>INDEX(Unit_Rates!$C$7:$K$113,MATCH($C33,Unit_Rates!$C$7:$C$113,0),6)</f>
        <v>Augmentation</v>
      </c>
      <c r="F33" s="23" t="str">
        <f t="shared" si="4"/>
        <v>SubtransmissionAugmentation</v>
      </c>
      <c r="G33" s="170">
        <f>INDEX(Unit_Rates!$C$7:$K$113,MATCH($C33,Unit_Rates!$C$7:$C$113,0),7)</f>
        <v>7.6639999999999979</v>
      </c>
      <c r="H33" s="171"/>
      <c r="I33" s="123" t="s">
        <v>294</v>
      </c>
      <c r="J33" s="165"/>
      <c r="K33" s="172">
        <f t="shared" si="9"/>
        <v>0</v>
      </c>
      <c r="L33" s="173">
        <f t="shared" si="2"/>
        <v>0</v>
      </c>
      <c r="M33" s="174"/>
      <c r="N33" s="448"/>
      <c r="O33" s="448"/>
      <c r="P33" s="449"/>
      <c r="Q33" s="152">
        <f>P33-H33*VLOOKUP(C33,Unit_Rates!$C$7:$E$51,3,FALSE)</f>
        <v>0</v>
      </c>
      <c r="R33" s="243">
        <v>0</v>
      </c>
      <c r="S33" s="243">
        <v>0</v>
      </c>
      <c r="T33" s="243">
        <v>0</v>
      </c>
      <c r="U33" s="243">
        <v>0</v>
      </c>
      <c r="V33" s="243">
        <v>0</v>
      </c>
      <c r="W33" s="243">
        <v>0</v>
      </c>
      <c r="X33" s="243">
        <v>0</v>
      </c>
      <c r="Y33" s="77">
        <f t="shared" si="3"/>
        <v>0</v>
      </c>
    </row>
    <row r="34" spans="2:25" x14ac:dyDescent="0.25">
      <c r="B34" s="84"/>
      <c r="C34" s="23" t="s">
        <v>156</v>
      </c>
      <c r="D34" s="23" t="str">
        <f>INDEX(Unit_Rates!$C$7:$K$113,MATCH($C34,Unit_Rates!$C$7:$C$113,0),5)</f>
        <v>Subtransmission</v>
      </c>
      <c r="E34" s="23" t="str">
        <f>INDEX(Unit_Rates!$C$7:$K$113,MATCH($C34,Unit_Rates!$C$7:$C$113,0),6)</f>
        <v>Augmentation</v>
      </c>
      <c r="F34" s="23" t="str">
        <f t="shared" si="4"/>
        <v>SubtransmissionAugmentation</v>
      </c>
      <c r="G34" s="170">
        <f>INDEX(Unit_Rates!$C$7:$K$113,MATCH($C34,Unit_Rates!$C$7:$C$113,0),7)</f>
        <v>27.162999999999993</v>
      </c>
      <c r="H34" s="171"/>
      <c r="I34" s="123" t="s">
        <v>294</v>
      </c>
      <c r="J34" s="165"/>
      <c r="K34" s="172">
        <f t="shared" si="9"/>
        <v>0</v>
      </c>
      <c r="L34" s="173">
        <f t="shared" si="2"/>
        <v>0</v>
      </c>
      <c r="M34" s="174"/>
      <c r="N34" s="448"/>
      <c r="O34" s="448"/>
      <c r="P34" s="449"/>
      <c r="Q34" s="152">
        <f>P34-H34*VLOOKUP(C34,Unit_Rates!$C$7:$E$51,3,FALSE)</f>
        <v>0</v>
      </c>
      <c r="R34" s="243">
        <v>0</v>
      </c>
      <c r="S34" s="243">
        <v>0</v>
      </c>
      <c r="T34" s="243">
        <v>0</v>
      </c>
      <c r="U34" s="243">
        <v>0</v>
      </c>
      <c r="V34" s="243">
        <v>0</v>
      </c>
      <c r="W34" s="243">
        <v>0</v>
      </c>
      <c r="X34" s="243">
        <v>0</v>
      </c>
      <c r="Y34" s="77">
        <f t="shared" si="3"/>
        <v>0</v>
      </c>
    </row>
    <row r="35" spans="2:25" x14ac:dyDescent="0.25">
      <c r="B35" s="84"/>
      <c r="C35" s="23" t="s">
        <v>157</v>
      </c>
      <c r="D35" s="23" t="str">
        <f>INDEX(Unit_Rates!$C$7:$K$113,MATCH($C35,Unit_Rates!$C$7:$C$113,0),5)</f>
        <v>Subtransmission</v>
      </c>
      <c r="E35" s="23" t="str">
        <f>INDEX(Unit_Rates!$C$7:$K$113,MATCH($C35,Unit_Rates!$C$7:$C$113,0),6)</f>
        <v>Augmentation</v>
      </c>
      <c r="F35" s="23" t="str">
        <f t="shared" si="4"/>
        <v>SubtransmissionAugmentation</v>
      </c>
      <c r="G35" s="170">
        <f>INDEX(Unit_Rates!$C$7:$K$113,MATCH($C35,Unit_Rates!$C$7:$C$113,0),7)</f>
        <v>0</v>
      </c>
      <c r="H35" s="171"/>
      <c r="I35" s="123" t="s">
        <v>294</v>
      </c>
      <c r="J35" s="165"/>
      <c r="K35" s="172">
        <f t="shared" si="9"/>
        <v>0</v>
      </c>
      <c r="L35" s="173">
        <f t="shared" si="2"/>
        <v>0</v>
      </c>
      <c r="M35" s="174"/>
      <c r="N35" s="448"/>
      <c r="O35" s="448"/>
      <c r="P35" s="449"/>
      <c r="Q35" s="152">
        <f>P35-H35*VLOOKUP(C35,Unit_Rates!$C$7:$E$51,3,FALSE)</f>
        <v>0</v>
      </c>
      <c r="R35" s="243">
        <v>0</v>
      </c>
      <c r="S35" s="243">
        <v>0</v>
      </c>
      <c r="T35" s="243">
        <v>0</v>
      </c>
      <c r="U35" s="243">
        <v>0</v>
      </c>
      <c r="V35" s="243">
        <v>0</v>
      </c>
      <c r="W35" s="243">
        <v>0</v>
      </c>
      <c r="X35" s="243">
        <v>0</v>
      </c>
      <c r="Y35" s="77">
        <f t="shared" si="3"/>
        <v>0</v>
      </c>
    </row>
    <row r="36" spans="2:25" x14ac:dyDescent="0.25">
      <c r="B36" s="84"/>
      <c r="C36" s="23" t="s">
        <v>155</v>
      </c>
      <c r="D36" s="23" t="str">
        <f>INDEX(Unit_Rates!$C$7:$K$113,MATCH($C36,Unit_Rates!$C$7:$C$113,0),5)</f>
        <v>Subtransmission</v>
      </c>
      <c r="E36" s="23" t="str">
        <f>INDEX(Unit_Rates!$C$7:$K$113,MATCH($C36,Unit_Rates!$C$7:$C$113,0),6)</f>
        <v>Augmentation</v>
      </c>
      <c r="F36" s="23" t="str">
        <f t="shared" si="4"/>
        <v>SubtransmissionAugmentation</v>
      </c>
      <c r="G36" s="170">
        <f>INDEX(Unit_Rates!$C$7:$K$113,MATCH($C36,Unit_Rates!$C$7:$C$113,0),7)</f>
        <v>0</v>
      </c>
      <c r="H36" s="171"/>
      <c r="I36" s="123" t="s">
        <v>294</v>
      </c>
      <c r="J36" s="165"/>
      <c r="K36" s="172">
        <f t="shared" si="9"/>
        <v>0</v>
      </c>
      <c r="L36" s="173">
        <f t="shared" si="2"/>
        <v>0</v>
      </c>
      <c r="M36" s="174"/>
      <c r="N36" s="448"/>
      <c r="O36" s="448"/>
      <c r="P36" s="449"/>
      <c r="Q36" s="152">
        <f>P36-H36*VLOOKUP(C36,Unit_Rates!$C$7:$E$51,3,FALSE)</f>
        <v>0</v>
      </c>
      <c r="R36" s="243">
        <v>0</v>
      </c>
      <c r="S36" s="243">
        <v>0</v>
      </c>
      <c r="T36" s="243">
        <v>0</v>
      </c>
      <c r="U36" s="243">
        <v>0</v>
      </c>
      <c r="V36" s="243">
        <v>0</v>
      </c>
      <c r="W36" s="243">
        <v>0</v>
      </c>
      <c r="X36" s="243">
        <v>0</v>
      </c>
      <c r="Y36" s="77">
        <f t="shared" si="3"/>
        <v>0</v>
      </c>
    </row>
    <row r="37" spans="2:25" x14ac:dyDescent="0.25">
      <c r="B37" s="84"/>
      <c r="C37" s="23" t="s">
        <v>159</v>
      </c>
      <c r="D37" s="23" t="str">
        <f>INDEX(Unit_Rates!$C$7:$K$113,MATCH($C37,Unit_Rates!$C$7:$C$113,0),5)</f>
        <v>Subtransmission</v>
      </c>
      <c r="E37" s="23" t="str">
        <f>INDEX(Unit_Rates!$C$7:$K$113,MATCH($C37,Unit_Rates!$C$7:$C$113,0),6)</f>
        <v>Augmentation</v>
      </c>
      <c r="F37" s="23" t="str">
        <f t="shared" si="4"/>
        <v>SubtransmissionAugmentation</v>
      </c>
      <c r="G37" s="170">
        <f>INDEX(Unit_Rates!$C$7:$K$113,MATCH($C37,Unit_Rates!$C$7:$C$113,0),7)</f>
        <v>0.61999999999999977</v>
      </c>
      <c r="H37" s="171"/>
      <c r="I37" s="123" t="s">
        <v>294</v>
      </c>
      <c r="J37" s="165"/>
      <c r="K37" s="172">
        <f t="shared" si="9"/>
        <v>0</v>
      </c>
      <c r="L37" s="173">
        <f t="shared" si="2"/>
        <v>0</v>
      </c>
      <c r="M37" s="174"/>
      <c r="N37" s="448"/>
      <c r="O37" s="448"/>
      <c r="P37" s="449"/>
      <c r="Q37" s="152">
        <f>P37-H37*VLOOKUP(C37,Unit_Rates!$C$7:$E$51,3,FALSE)</f>
        <v>0</v>
      </c>
      <c r="R37" s="243">
        <v>0</v>
      </c>
      <c r="S37" s="243">
        <v>0</v>
      </c>
      <c r="T37" s="243">
        <v>0</v>
      </c>
      <c r="U37" s="243">
        <v>0</v>
      </c>
      <c r="V37" s="243">
        <v>0</v>
      </c>
      <c r="W37" s="243">
        <v>0</v>
      </c>
      <c r="X37" s="243">
        <v>0</v>
      </c>
      <c r="Y37" s="77">
        <f t="shared" si="3"/>
        <v>0</v>
      </c>
    </row>
    <row r="38" spans="2:25" x14ac:dyDescent="0.25">
      <c r="B38" s="84"/>
      <c r="C38" s="23" t="s">
        <v>179</v>
      </c>
      <c r="D38" s="23" t="str">
        <f>INDEX(Unit_Rates!$C$7:$K$113,MATCH($C38,Unit_Rates!$C$7:$C$113,0),5)</f>
        <v>Subtransmission</v>
      </c>
      <c r="E38" s="23" t="str">
        <f>INDEX(Unit_Rates!$C$7:$K$113,MATCH($C38,Unit_Rates!$C$7:$C$113,0),6)</f>
        <v>Augmentation</v>
      </c>
      <c r="F38" s="23" t="str">
        <f t="shared" si="4"/>
        <v>SubtransmissionAugmentation</v>
      </c>
      <c r="G38" s="170">
        <f>INDEX(Unit_Rates!$C$7:$K$113,MATCH($C38,Unit_Rates!$C$7:$C$113,0),7)</f>
        <v>0</v>
      </c>
      <c r="H38" s="171">
        <v>1</v>
      </c>
      <c r="I38" s="123" t="s">
        <v>294</v>
      </c>
      <c r="J38" s="165"/>
      <c r="K38" s="172">
        <f t="shared" si="9"/>
        <v>0</v>
      </c>
      <c r="L38" s="173">
        <f t="shared" si="2"/>
        <v>0</v>
      </c>
      <c r="M38" s="174"/>
      <c r="N38" s="448"/>
      <c r="O38" s="448"/>
      <c r="P38" s="449"/>
      <c r="Q38" s="152">
        <f>P38-H38*VLOOKUP(C38,Unit_Rates!$C$7:$E$51,3,FALSE)</f>
        <v>0</v>
      </c>
      <c r="R38" s="243">
        <v>0</v>
      </c>
      <c r="S38" s="243">
        <v>0</v>
      </c>
      <c r="T38" s="243">
        <v>0</v>
      </c>
      <c r="U38" s="243">
        <v>0</v>
      </c>
      <c r="V38" s="243">
        <v>0</v>
      </c>
      <c r="W38" s="243">
        <v>0</v>
      </c>
      <c r="X38" s="243">
        <v>0</v>
      </c>
      <c r="Y38" s="77">
        <f t="shared" si="3"/>
        <v>0</v>
      </c>
    </row>
    <row r="39" spans="2:25" x14ac:dyDescent="0.25">
      <c r="B39" s="84"/>
      <c r="C39" s="23" t="s">
        <v>161</v>
      </c>
      <c r="D39" s="23" t="str">
        <f>INDEX(Unit_Rates!$C$7:$K$113,MATCH($C39,Unit_Rates!$C$7:$C$113,0),5)</f>
        <v>Subtransmission</v>
      </c>
      <c r="E39" s="23" t="str">
        <f>INDEX(Unit_Rates!$C$7:$K$113,MATCH($C39,Unit_Rates!$C$7:$C$113,0),6)</f>
        <v>Augmentation</v>
      </c>
      <c r="F39" s="23" t="str">
        <f t="shared" si="4"/>
        <v>SubtransmissionAugmentation</v>
      </c>
      <c r="G39" s="170">
        <f>INDEX(Unit_Rates!$C$7:$K$113,MATCH($C39,Unit_Rates!$C$7:$C$113,0),7)</f>
        <v>93.853999999999985</v>
      </c>
      <c r="H39" s="171"/>
      <c r="I39" s="123" t="s">
        <v>294</v>
      </c>
      <c r="J39" s="165"/>
      <c r="K39" s="172">
        <f t="shared" si="9"/>
        <v>0</v>
      </c>
      <c r="L39" s="173">
        <f t="shared" si="2"/>
        <v>0</v>
      </c>
      <c r="M39" s="174"/>
      <c r="N39" s="448"/>
      <c r="O39" s="448"/>
      <c r="P39" s="449"/>
      <c r="Q39" s="152">
        <f>P39-H39*VLOOKUP(C39,Unit_Rates!$C$7:$E$51,3,FALSE)</f>
        <v>0</v>
      </c>
      <c r="R39" s="243">
        <v>0</v>
      </c>
      <c r="S39" s="243">
        <v>0</v>
      </c>
      <c r="T39" s="243">
        <v>0</v>
      </c>
      <c r="U39" s="243">
        <v>0</v>
      </c>
      <c r="V39" s="243">
        <v>0</v>
      </c>
      <c r="W39" s="243">
        <v>0</v>
      </c>
      <c r="X39" s="243">
        <v>0</v>
      </c>
      <c r="Y39" s="77">
        <f t="shared" si="3"/>
        <v>0</v>
      </c>
    </row>
    <row r="40" spans="2:25" x14ac:dyDescent="0.25">
      <c r="B40" s="84"/>
      <c r="C40" s="23" t="s">
        <v>163</v>
      </c>
      <c r="D40" s="23" t="str">
        <f>INDEX(Unit_Rates!$C$7:$K$113,MATCH($C40,Unit_Rates!$C$7:$C$113,0),5)</f>
        <v>Subtransmission</v>
      </c>
      <c r="E40" s="23" t="str">
        <f>INDEX(Unit_Rates!$C$7:$K$113,MATCH($C40,Unit_Rates!$C$7:$C$113,0),6)</f>
        <v>Augmentation</v>
      </c>
      <c r="F40" s="23" t="str">
        <f t="shared" si="4"/>
        <v>SubtransmissionAugmentation</v>
      </c>
      <c r="G40" s="170">
        <f>INDEX(Unit_Rates!$C$7:$K$113,MATCH($C40,Unit_Rates!$C$7:$C$113,0),7)</f>
        <v>0</v>
      </c>
      <c r="H40" s="171"/>
      <c r="I40" s="123" t="s">
        <v>294</v>
      </c>
      <c r="J40" s="165"/>
      <c r="K40" s="172">
        <f t="shared" si="9"/>
        <v>0</v>
      </c>
      <c r="L40" s="173">
        <f t="shared" si="2"/>
        <v>0</v>
      </c>
      <c r="M40" s="174"/>
      <c r="N40" s="448"/>
      <c r="O40" s="448"/>
      <c r="P40" s="449"/>
      <c r="Q40" s="152">
        <f>P40-H40*VLOOKUP(C40,Unit_Rates!$C$7:$E$51,3,FALSE)</f>
        <v>0</v>
      </c>
      <c r="R40" s="243">
        <v>0</v>
      </c>
      <c r="S40" s="243">
        <v>0</v>
      </c>
      <c r="T40" s="243">
        <v>0</v>
      </c>
      <c r="U40" s="243">
        <v>0</v>
      </c>
      <c r="V40" s="243">
        <v>0</v>
      </c>
      <c r="W40" s="243">
        <v>0</v>
      </c>
      <c r="X40" s="243">
        <v>0</v>
      </c>
      <c r="Y40" s="77">
        <f t="shared" si="3"/>
        <v>0</v>
      </c>
    </row>
    <row r="41" spans="2:25" x14ac:dyDescent="0.25">
      <c r="B41" s="84"/>
      <c r="C41" s="23" t="s">
        <v>169</v>
      </c>
      <c r="D41" s="23" t="str">
        <f>INDEX(Unit_Rates!$C$7:$K$113,MATCH($C41,Unit_Rates!$C$7:$C$113,0),5)</f>
        <v>Subtransmission</v>
      </c>
      <c r="E41" s="23" t="str">
        <f>INDEX(Unit_Rates!$C$7:$K$113,MATCH($C41,Unit_Rates!$C$7:$C$113,0),6)</f>
        <v>Augmentation</v>
      </c>
      <c r="F41" s="23" t="str">
        <f t="shared" si="4"/>
        <v>SubtransmissionAugmentation</v>
      </c>
      <c r="G41" s="170">
        <f>INDEX(Unit_Rates!$C$7:$K$113,MATCH($C41,Unit_Rates!$C$7:$C$113,0),7)</f>
        <v>174.5855255813953</v>
      </c>
      <c r="H41" s="171"/>
      <c r="I41" s="123" t="s">
        <v>294</v>
      </c>
      <c r="J41" s="165"/>
      <c r="K41" s="172">
        <f t="shared" si="9"/>
        <v>0</v>
      </c>
      <c r="L41" s="173">
        <f t="shared" si="2"/>
        <v>0</v>
      </c>
      <c r="M41" s="174"/>
      <c r="N41" s="448"/>
      <c r="O41" s="448"/>
      <c r="P41" s="449"/>
      <c r="Q41" s="152">
        <f>P41-H41*VLOOKUP(C41,Unit_Rates!$C$7:$E$51,3,FALSE)</f>
        <v>0</v>
      </c>
      <c r="R41" s="243">
        <v>0</v>
      </c>
      <c r="S41" s="243">
        <v>0</v>
      </c>
      <c r="T41" s="243">
        <v>0</v>
      </c>
      <c r="U41" s="243">
        <v>0</v>
      </c>
      <c r="V41" s="243">
        <v>0</v>
      </c>
      <c r="W41" s="243">
        <v>0</v>
      </c>
      <c r="X41" s="243">
        <v>0</v>
      </c>
      <c r="Y41" s="77">
        <f t="shared" si="3"/>
        <v>0</v>
      </c>
    </row>
    <row r="42" spans="2:25" x14ac:dyDescent="0.25">
      <c r="B42" s="84"/>
      <c r="C42" s="23" t="s">
        <v>171</v>
      </c>
      <c r="D42" s="23" t="str">
        <f>INDEX(Unit_Rates!$C$7:$K$113,MATCH($C42,Unit_Rates!$C$7:$C$113,0),5)</f>
        <v>Subtransmission</v>
      </c>
      <c r="E42" s="23" t="str">
        <f>INDEX(Unit_Rates!$C$7:$K$113,MATCH($C42,Unit_Rates!$C$7:$C$113,0),6)</f>
        <v>Augmentation</v>
      </c>
      <c r="F42" s="23" t="str">
        <f t="shared" si="4"/>
        <v>SubtransmissionAugmentation</v>
      </c>
      <c r="G42" s="170">
        <f>INDEX(Unit_Rates!$C$7:$K$113,MATCH($C42,Unit_Rates!$C$7:$C$113,0),7)</f>
        <v>369.03899999999987</v>
      </c>
      <c r="H42" s="171"/>
      <c r="I42" s="123" t="s">
        <v>294</v>
      </c>
      <c r="J42" s="165"/>
      <c r="K42" s="172">
        <f t="shared" si="9"/>
        <v>0</v>
      </c>
      <c r="L42" s="173">
        <f t="shared" si="2"/>
        <v>0</v>
      </c>
      <c r="M42" s="174"/>
      <c r="N42" s="448"/>
      <c r="O42" s="448"/>
      <c r="P42" s="449"/>
      <c r="Q42" s="152">
        <f>P42-H42*VLOOKUP(C42,Unit_Rates!$C$7:$E$51,3,FALSE)</f>
        <v>0</v>
      </c>
      <c r="R42" s="243">
        <v>0</v>
      </c>
      <c r="S42" s="243">
        <v>0</v>
      </c>
      <c r="T42" s="243">
        <v>0</v>
      </c>
      <c r="U42" s="243">
        <v>0</v>
      </c>
      <c r="V42" s="243">
        <v>0</v>
      </c>
      <c r="W42" s="243">
        <v>0</v>
      </c>
      <c r="X42" s="243">
        <v>0</v>
      </c>
      <c r="Y42" s="77">
        <f t="shared" si="3"/>
        <v>0</v>
      </c>
    </row>
    <row r="43" spans="2:25" x14ac:dyDescent="0.25">
      <c r="B43" s="84"/>
      <c r="C43" s="23" t="s">
        <v>173</v>
      </c>
      <c r="D43" s="23" t="str">
        <f>INDEX(Unit_Rates!$C$7:$K$113,MATCH($C43,Unit_Rates!$C$7:$C$113,0),5)</f>
        <v>Subtransmission</v>
      </c>
      <c r="E43" s="23" t="str">
        <f>INDEX(Unit_Rates!$C$7:$K$113,MATCH($C43,Unit_Rates!$C$7:$C$113,0),6)</f>
        <v>Augmentation</v>
      </c>
      <c r="F43" s="23" t="str">
        <f t="shared" si="4"/>
        <v>SubtransmissionAugmentation</v>
      </c>
      <c r="G43" s="170">
        <v>5.0552470833333335E-2</v>
      </c>
      <c r="H43" s="171">
        <v>120</v>
      </c>
      <c r="I43" s="123" t="s">
        <v>295</v>
      </c>
      <c r="J43" s="165"/>
      <c r="K43" s="172">
        <f t="shared" si="9"/>
        <v>6.0662965</v>
      </c>
      <c r="L43" s="173">
        <f t="shared" si="2"/>
        <v>0</v>
      </c>
      <c r="M43" s="174"/>
      <c r="N43" s="448"/>
      <c r="O43" s="451"/>
      <c r="P43" s="449"/>
      <c r="Q43" s="152"/>
      <c r="R43" s="243">
        <v>0</v>
      </c>
      <c r="S43" s="243">
        <v>0</v>
      </c>
      <c r="T43" s="243">
        <v>0</v>
      </c>
      <c r="U43" s="243">
        <v>0</v>
      </c>
      <c r="V43" s="243">
        <v>0</v>
      </c>
      <c r="W43" s="243">
        <v>0</v>
      </c>
      <c r="X43" s="243">
        <v>0</v>
      </c>
      <c r="Y43" s="77">
        <f t="shared" si="3"/>
        <v>0</v>
      </c>
    </row>
    <row r="44" spans="2:25" x14ac:dyDescent="0.25">
      <c r="B44" s="84"/>
      <c r="C44" s="23" t="s">
        <v>177</v>
      </c>
      <c r="D44" s="23" t="str">
        <f>INDEX(Unit_Rates!$C$7:$K$113,MATCH($C44,Unit_Rates!$C$7:$C$113,0),5)</f>
        <v>Subtransmission</v>
      </c>
      <c r="E44" s="23" t="str">
        <f>INDEX(Unit_Rates!$C$7:$K$113,MATCH($C44,Unit_Rates!$C$7:$C$113,0),6)</f>
        <v>Augmentation</v>
      </c>
      <c r="F44" s="23" t="str">
        <f t="shared" si="4"/>
        <v>SubtransmissionAugmentation</v>
      </c>
      <c r="G44" s="179">
        <f>INDEX(Unit_Rates!$C$7:$K$113,MATCH($C44,Unit_Rates!$C$7:$C$113,0),7)</f>
        <v>4.9999999999999996E-2</v>
      </c>
      <c r="H44" s="171"/>
      <c r="I44" s="123" t="s">
        <v>295</v>
      </c>
      <c r="J44" s="165"/>
      <c r="K44" s="172">
        <f t="shared" si="9"/>
        <v>0</v>
      </c>
      <c r="L44" s="173">
        <f t="shared" si="2"/>
        <v>0</v>
      </c>
      <c r="M44" s="174"/>
      <c r="N44" s="448"/>
      <c r="O44" s="448"/>
      <c r="P44" s="449"/>
      <c r="Q44" s="152"/>
      <c r="R44" s="243">
        <v>0</v>
      </c>
      <c r="S44" s="243">
        <v>0</v>
      </c>
      <c r="T44" s="243">
        <v>0</v>
      </c>
      <c r="U44" s="243">
        <v>0</v>
      </c>
      <c r="V44" s="243">
        <v>0</v>
      </c>
      <c r="W44" s="243">
        <v>0</v>
      </c>
      <c r="X44" s="243">
        <v>0</v>
      </c>
      <c r="Y44" s="77">
        <f t="shared" si="3"/>
        <v>0</v>
      </c>
    </row>
    <row r="45" spans="2:25" x14ac:dyDescent="0.25">
      <c r="B45" s="84"/>
      <c r="C45" s="23" t="s">
        <v>25</v>
      </c>
      <c r="D45" s="23" t="s">
        <v>3</v>
      </c>
      <c r="E45" s="23" t="s">
        <v>27</v>
      </c>
      <c r="F45" s="23" t="str">
        <f t="shared" si="4"/>
        <v>SubtransmissionAugmentation</v>
      </c>
      <c r="G45" s="170">
        <v>0</v>
      </c>
      <c r="H45" s="171"/>
      <c r="I45" s="123" t="s">
        <v>294</v>
      </c>
      <c r="J45" s="165"/>
      <c r="K45" s="172">
        <f t="shared" si="9"/>
        <v>0</v>
      </c>
      <c r="L45" s="180">
        <f t="shared" si="2"/>
        <v>0</v>
      </c>
      <c r="M45" s="174"/>
      <c r="N45" s="448"/>
      <c r="O45" s="451"/>
      <c r="P45" s="449"/>
      <c r="Q45" s="163"/>
      <c r="R45" s="238"/>
      <c r="S45" s="238"/>
      <c r="T45" s="238"/>
      <c r="U45" s="238"/>
      <c r="V45" s="238"/>
      <c r="W45" s="238"/>
      <c r="X45" s="238"/>
      <c r="Y45" s="77"/>
    </row>
    <row r="46" spans="2:25" x14ac:dyDescent="0.25">
      <c r="B46" s="84"/>
      <c r="C46" s="23" t="s">
        <v>338</v>
      </c>
      <c r="D46" s="23" t="str">
        <f>INDEX(Unit_Rates!$C$7:$K$113,MATCH($C46,Unit_Rates!$C$7:$C$113,0),5)</f>
        <v>Subtransmission</v>
      </c>
      <c r="E46" s="23" t="str">
        <f>INDEX(Unit_Rates!$C$7:$K$113,MATCH($C46,Unit_Rates!$C$7:$C$113,0),6)</f>
        <v>Augmentation</v>
      </c>
      <c r="F46" s="23" t="str">
        <f t="shared" si="4"/>
        <v>SubtransmissionAugmentation</v>
      </c>
      <c r="G46" s="170">
        <f>INDEX(Unit_Rates!$C$7:$K$113,MATCH($C46,Unit_Rates!$C$7:$C$113,0),7)</f>
        <v>406.8</v>
      </c>
      <c r="H46" s="171"/>
      <c r="I46" s="123" t="s">
        <v>294</v>
      </c>
      <c r="J46" s="165"/>
      <c r="K46" s="172">
        <f t="shared" si="9"/>
        <v>0</v>
      </c>
      <c r="L46" s="180">
        <f t="shared" si="2"/>
        <v>0</v>
      </c>
      <c r="M46" s="174"/>
      <c r="N46" s="448"/>
      <c r="O46" s="448"/>
      <c r="P46" s="449"/>
      <c r="Q46" s="152">
        <f>P46-H46*VLOOKUP(C46,Unit_Rates!$C$7:$E$51,3,FALSE)</f>
        <v>0</v>
      </c>
      <c r="R46" s="238"/>
      <c r="S46" s="238"/>
      <c r="T46" s="238"/>
      <c r="U46" s="238"/>
      <c r="V46" s="238"/>
      <c r="W46" s="238"/>
      <c r="X46" s="238"/>
    </row>
    <row r="47" spans="2:25" x14ac:dyDescent="0.25">
      <c r="B47" s="84"/>
      <c r="C47" s="23" t="s">
        <v>183</v>
      </c>
      <c r="D47" s="23" t="str">
        <f>INDEX(Unit_Rates!$C$7:$K$113,MATCH($C47,Unit_Rates!$C$7:$C$113,0),5)</f>
        <v>Subtransmission</v>
      </c>
      <c r="E47" s="23" t="str">
        <f>INDEX(Unit_Rates!$C$7:$K$113,MATCH($C47,Unit_Rates!$C$7:$C$113,0),6)</f>
        <v>Augmentation</v>
      </c>
      <c r="F47" s="23" t="str">
        <f t="shared" si="4"/>
        <v>SubtransmissionAugmentation</v>
      </c>
      <c r="G47" s="170">
        <f>INDEX(Unit_Rates!$C$7:$K$113,MATCH($C47,Unit_Rates!$C$7:$C$113,0),7)</f>
        <v>0</v>
      </c>
      <c r="H47" s="171"/>
      <c r="I47" s="123" t="s">
        <v>294</v>
      </c>
      <c r="J47" s="165"/>
      <c r="K47" s="172">
        <f t="shared" si="9"/>
        <v>0</v>
      </c>
      <c r="L47" s="180">
        <f t="shared" si="2"/>
        <v>0</v>
      </c>
      <c r="M47" s="174"/>
      <c r="N47" s="448"/>
      <c r="O47" s="448"/>
      <c r="P47" s="449"/>
      <c r="Q47" s="152">
        <f>P47-H47*VLOOKUP(C47,Unit_Rates!$C$7:$E$51,3,FALSE)</f>
        <v>0</v>
      </c>
      <c r="R47" s="243">
        <v>0</v>
      </c>
      <c r="S47" s="243">
        <v>0</v>
      </c>
      <c r="T47" s="243">
        <v>0</v>
      </c>
      <c r="U47" s="243">
        <v>0</v>
      </c>
      <c r="V47" s="243">
        <v>0</v>
      </c>
      <c r="W47" s="243">
        <v>0</v>
      </c>
      <c r="X47" s="243">
        <v>0</v>
      </c>
    </row>
    <row r="48" spans="2:25" x14ac:dyDescent="0.25">
      <c r="B48" s="84"/>
      <c r="C48" s="23"/>
      <c r="D48" s="23"/>
      <c r="E48" s="23"/>
      <c r="F48" s="23"/>
      <c r="G48" s="170"/>
      <c r="H48" s="171"/>
      <c r="I48" s="167"/>
      <c r="J48" s="165"/>
      <c r="K48" s="149"/>
      <c r="L48" s="167"/>
      <c r="M48" s="169"/>
      <c r="N48" s="181"/>
      <c r="O48" s="181"/>
      <c r="P48" s="371"/>
      <c r="Q48" s="152"/>
      <c r="R48" s="243">
        <v>0</v>
      </c>
      <c r="S48" s="243">
        <v>0</v>
      </c>
      <c r="T48" s="243">
        <v>0</v>
      </c>
      <c r="U48" s="243">
        <v>0</v>
      </c>
      <c r="V48" s="243">
        <v>0</v>
      </c>
      <c r="W48" s="243">
        <v>0</v>
      </c>
      <c r="X48" s="243">
        <v>0</v>
      </c>
      <c r="Y48" s="77">
        <f t="shared" ref="Y48:Y54" si="10">SUM(R48:X48)</f>
        <v>0</v>
      </c>
    </row>
    <row r="49" spans="2:25" x14ac:dyDescent="0.25">
      <c r="B49" s="120" t="s">
        <v>296</v>
      </c>
      <c r="C49" s="23"/>
      <c r="D49" s="23"/>
      <c r="E49" s="23"/>
      <c r="F49" s="23"/>
      <c r="G49" s="170"/>
      <c r="H49" s="171"/>
      <c r="I49" s="123"/>
      <c r="J49" s="153"/>
      <c r="K49" s="172"/>
      <c r="L49" s="172"/>
      <c r="M49" s="181"/>
      <c r="N49" s="182"/>
      <c r="O49" s="181"/>
      <c r="P49" s="293"/>
      <c r="Q49" s="152"/>
      <c r="R49" s="243">
        <v>0</v>
      </c>
      <c r="S49" s="243">
        <v>0</v>
      </c>
      <c r="T49" s="243">
        <v>0</v>
      </c>
      <c r="U49" s="243">
        <v>0</v>
      </c>
      <c r="V49" s="243">
        <v>0</v>
      </c>
      <c r="W49" s="243">
        <v>0</v>
      </c>
      <c r="X49" s="243">
        <v>0</v>
      </c>
      <c r="Y49" s="77">
        <f t="shared" si="10"/>
        <v>0</v>
      </c>
    </row>
    <row r="50" spans="2:25" x14ac:dyDescent="0.25">
      <c r="B50" s="84"/>
      <c r="C50" s="23" t="s">
        <v>187</v>
      </c>
      <c r="D50" s="23" t="str">
        <f>INDEX(Unit_Rates!$C$7:$K$113,MATCH($C50,Unit_Rates!$C$7:$C$113,0),5)</f>
        <v>SCADA/Network control</v>
      </c>
      <c r="E50" s="23" t="str">
        <f>INDEX(Unit_Rates!$C$7:$K$113,MATCH($C50,Unit_Rates!$C$7:$C$113,0),6)</f>
        <v>Augmentation</v>
      </c>
      <c r="F50" s="23" t="str">
        <f t="shared" ref="F50:F56" si="11">D50&amp;E50</f>
        <v>SCADA/Network controlAugmentation</v>
      </c>
      <c r="G50" s="170">
        <f>INDEX(Unit_Rates!$C$7:$K$113,MATCH($C50,Unit_Rates!$C$7:$C$113,0),7)</f>
        <v>48.982274401473298</v>
      </c>
      <c r="H50" s="171"/>
      <c r="I50" s="123" t="s">
        <v>294</v>
      </c>
      <c r="J50" s="165"/>
      <c r="K50" s="149">
        <f>G50*H50</f>
        <v>0</v>
      </c>
      <c r="L50" s="149">
        <f t="shared" ref="L50:L56" si="12">SUMPRODUCT(R$5:X$5,R50:X50)/Thousands</f>
        <v>0</v>
      </c>
      <c r="M50" s="151"/>
      <c r="N50" s="448"/>
      <c r="O50" s="448"/>
      <c r="P50" s="449"/>
      <c r="Q50" s="152">
        <f>P50-H50*VLOOKUP(C50,Unit_Rates!$C$103:$E$113,3,FALSE)</f>
        <v>0</v>
      </c>
      <c r="R50" s="243">
        <v>0</v>
      </c>
      <c r="S50" s="243">
        <v>0</v>
      </c>
      <c r="T50" s="243">
        <v>0</v>
      </c>
      <c r="U50" s="243">
        <v>0</v>
      </c>
      <c r="V50" s="243">
        <v>0</v>
      </c>
      <c r="W50" s="243">
        <v>0</v>
      </c>
      <c r="X50" s="243">
        <v>0</v>
      </c>
      <c r="Y50" s="77">
        <f t="shared" si="10"/>
        <v>0</v>
      </c>
    </row>
    <row r="51" spans="2:25" x14ac:dyDescent="0.25">
      <c r="B51" s="84"/>
      <c r="C51" s="23" t="s">
        <v>190</v>
      </c>
      <c r="D51" s="23" t="str">
        <f>INDEX(Unit_Rates!$C$7:$K$113,MATCH($C51,Unit_Rates!$C$7:$C$113,0),5)</f>
        <v>SCADA/Network control</v>
      </c>
      <c r="E51" s="23" t="str">
        <f>INDEX(Unit_Rates!$C$7:$K$113,MATCH($C51,Unit_Rates!$C$7:$C$113,0),6)</f>
        <v>Augmentation</v>
      </c>
      <c r="F51" s="23" t="str">
        <f t="shared" si="11"/>
        <v>SCADA/Network controlAugmentation</v>
      </c>
      <c r="G51" s="170">
        <f>INDEX(Unit_Rates!$C$7:$K$113,MATCH($C51,Unit_Rates!$C$7:$C$113,0),7)</f>
        <v>6.2430939226519344</v>
      </c>
      <c r="H51" s="171"/>
      <c r="I51" s="123" t="s">
        <v>294</v>
      </c>
      <c r="J51" s="165"/>
      <c r="K51" s="149">
        <f>G51*H51</f>
        <v>0</v>
      </c>
      <c r="L51" s="149">
        <f t="shared" si="12"/>
        <v>0</v>
      </c>
      <c r="M51" s="151"/>
      <c r="N51" s="448"/>
      <c r="O51" s="448"/>
      <c r="P51" s="449"/>
      <c r="Q51" s="152">
        <f>P51-H51*VLOOKUP(C51,Unit_Rates!$C$103:$E$113,3,FALSE)</f>
        <v>0</v>
      </c>
      <c r="R51" s="243">
        <v>0</v>
      </c>
      <c r="S51" s="243">
        <v>0</v>
      </c>
      <c r="T51" s="243">
        <v>0</v>
      </c>
      <c r="U51" s="243">
        <v>0</v>
      </c>
      <c r="V51" s="243">
        <v>0</v>
      </c>
      <c r="W51" s="243">
        <v>0</v>
      </c>
      <c r="X51" s="243">
        <v>0</v>
      </c>
      <c r="Y51" s="77">
        <f t="shared" si="10"/>
        <v>0</v>
      </c>
    </row>
    <row r="52" spans="2:25" x14ac:dyDescent="0.25">
      <c r="B52" s="84"/>
      <c r="C52" s="23" t="s">
        <v>192</v>
      </c>
      <c r="D52" s="23" t="str">
        <f>INDEX(Unit_Rates!$C$7:$K$113,MATCH($C52,Unit_Rates!$C$7:$C$113,0),5)</f>
        <v>SCADA/Network control</v>
      </c>
      <c r="E52" s="23" t="str">
        <f>INDEX(Unit_Rates!$C$7:$K$113,MATCH($C52,Unit_Rates!$C$7:$C$113,0),6)</f>
        <v>Augmentation</v>
      </c>
      <c r="F52" s="23" t="str">
        <f t="shared" si="11"/>
        <v>SCADA/Network controlAugmentation</v>
      </c>
      <c r="G52" s="170">
        <f>INDEX(Unit_Rates!$C$7:$K$113,MATCH($C52,Unit_Rates!$C$7:$C$113,0),7)</f>
        <v>8.6955893186003674</v>
      </c>
      <c r="H52" s="171"/>
      <c r="I52" s="123" t="s">
        <v>294</v>
      </c>
      <c r="J52" s="165"/>
      <c r="K52" s="149">
        <f t="shared" ref="K52:K54" si="13">G52*H52</f>
        <v>0</v>
      </c>
      <c r="L52" s="149">
        <f t="shared" si="12"/>
        <v>0</v>
      </c>
      <c r="M52" s="151"/>
      <c r="N52" s="448"/>
      <c r="O52" s="448"/>
      <c r="P52" s="449"/>
      <c r="Q52" s="152">
        <f>P52-H52*VLOOKUP(C52,Unit_Rates!$C$103:$E$113,3,FALSE)</f>
        <v>0</v>
      </c>
      <c r="R52" s="243">
        <v>0</v>
      </c>
      <c r="S52" s="243">
        <v>0</v>
      </c>
      <c r="T52" s="243">
        <v>0</v>
      </c>
      <c r="U52" s="243">
        <v>0</v>
      </c>
      <c r="V52" s="243">
        <v>0</v>
      </c>
      <c r="W52" s="243">
        <v>0</v>
      </c>
      <c r="X52" s="243">
        <v>0</v>
      </c>
      <c r="Y52" s="77">
        <f t="shared" si="10"/>
        <v>0</v>
      </c>
    </row>
    <row r="53" spans="2:25" x14ac:dyDescent="0.25">
      <c r="B53" s="84"/>
      <c r="C53" s="23" t="s">
        <v>193</v>
      </c>
      <c r="D53" s="23" t="str">
        <f>INDEX(Unit_Rates!$C$7:$K$113,MATCH($C53,Unit_Rates!$C$7:$C$113,0),5)</f>
        <v>SCADA/Network control</v>
      </c>
      <c r="E53" s="23" t="str">
        <f>INDEX(Unit_Rates!$C$7:$K$113,MATCH($C53,Unit_Rates!$C$7:$C$113,0),6)</f>
        <v>Augmentation</v>
      </c>
      <c r="F53" s="23" t="str">
        <f t="shared" si="11"/>
        <v>SCADA/Network controlAugmentation</v>
      </c>
      <c r="G53" s="170">
        <f>INDEX(Unit_Rates!$C$7:$K$113,MATCH($C53,Unit_Rates!$C$7:$C$113,0),7)</f>
        <v>98.007730202578273</v>
      </c>
      <c r="H53" s="171"/>
      <c r="I53" s="123" t="s">
        <v>294</v>
      </c>
      <c r="J53" s="165"/>
      <c r="K53" s="149">
        <f t="shared" si="13"/>
        <v>0</v>
      </c>
      <c r="L53" s="149">
        <f t="shared" si="12"/>
        <v>0</v>
      </c>
      <c r="M53" s="151"/>
      <c r="N53" s="448"/>
      <c r="O53" s="448"/>
      <c r="P53" s="449"/>
      <c r="Q53" s="152">
        <f>P53-H53*VLOOKUP(C53,Unit_Rates!$C$103:$E$113,3,FALSE)</f>
        <v>0</v>
      </c>
      <c r="R53" s="243">
        <v>0</v>
      </c>
      <c r="S53" s="243">
        <v>0</v>
      </c>
      <c r="T53" s="243">
        <v>0</v>
      </c>
      <c r="U53" s="243">
        <v>0</v>
      </c>
      <c r="V53" s="243">
        <v>0</v>
      </c>
      <c r="W53" s="243">
        <v>0</v>
      </c>
      <c r="X53" s="243">
        <v>0</v>
      </c>
      <c r="Y53" s="77">
        <f t="shared" si="10"/>
        <v>0</v>
      </c>
    </row>
    <row r="54" spans="2:25" x14ac:dyDescent="0.25">
      <c r="B54" s="84"/>
      <c r="C54" s="23" t="s">
        <v>297</v>
      </c>
      <c r="D54" s="23" t="s">
        <v>2</v>
      </c>
      <c r="E54" s="23" t="s">
        <v>27</v>
      </c>
      <c r="F54" s="23" t="s">
        <v>31</v>
      </c>
      <c r="G54" s="184">
        <v>2</v>
      </c>
      <c r="H54" s="171">
        <v>1</v>
      </c>
      <c r="I54" s="123" t="s">
        <v>294</v>
      </c>
      <c r="J54" s="165"/>
      <c r="K54" s="149">
        <f t="shared" si="13"/>
        <v>2</v>
      </c>
      <c r="L54" s="149">
        <f t="shared" si="12"/>
        <v>0</v>
      </c>
      <c r="M54" s="151"/>
      <c r="N54" s="448"/>
      <c r="O54" s="451"/>
      <c r="P54" s="449"/>
      <c r="Q54" s="152"/>
      <c r="R54" s="238"/>
      <c r="S54" s="238"/>
      <c r="T54" s="238"/>
      <c r="U54" s="238"/>
      <c r="V54" s="238"/>
      <c r="W54" s="238"/>
      <c r="X54" s="238"/>
      <c r="Y54" s="77">
        <f t="shared" si="10"/>
        <v>0</v>
      </c>
    </row>
    <row r="55" spans="2:25" x14ac:dyDescent="0.25">
      <c r="B55" s="84"/>
      <c r="C55" s="23" t="s">
        <v>298</v>
      </c>
      <c r="D55" s="23" t="s">
        <v>2</v>
      </c>
      <c r="E55" s="23" t="s">
        <v>27</v>
      </c>
      <c r="F55" s="23" t="str">
        <f t="shared" si="11"/>
        <v>SCADA/Network controlAugmentation</v>
      </c>
      <c r="G55" s="184">
        <v>0</v>
      </c>
      <c r="H55" s="171"/>
      <c r="I55" s="123" t="s">
        <v>294</v>
      </c>
      <c r="J55" s="165"/>
      <c r="K55" s="149">
        <f>G55*H55</f>
        <v>0</v>
      </c>
      <c r="L55" s="149">
        <f t="shared" si="12"/>
        <v>0</v>
      </c>
      <c r="M55" s="151"/>
      <c r="N55" s="448"/>
      <c r="O55" s="451"/>
      <c r="P55" s="449"/>
      <c r="Q55" s="152"/>
      <c r="R55" s="243">
        <v>0</v>
      </c>
      <c r="S55" s="243">
        <v>0</v>
      </c>
      <c r="T55" s="243">
        <v>0</v>
      </c>
      <c r="U55" s="243">
        <v>0</v>
      </c>
      <c r="V55" s="243">
        <v>0</v>
      </c>
      <c r="W55" s="243">
        <v>0</v>
      </c>
      <c r="X55" s="243">
        <v>0</v>
      </c>
    </row>
    <row r="56" spans="2:25" x14ac:dyDescent="0.25">
      <c r="B56" s="120" t="s">
        <v>299</v>
      </c>
      <c r="C56" s="23"/>
      <c r="D56" s="23" t="s">
        <v>3</v>
      </c>
      <c r="E56" s="23" t="s">
        <v>27</v>
      </c>
      <c r="F56" s="23" t="str">
        <f t="shared" si="11"/>
        <v>SubtransmissionAugmentation</v>
      </c>
      <c r="G56" s="185">
        <v>54.711270796460163</v>
      </c>
      <c r="H56" s="171"/>
      <c r="I56" s="123" t="s">
        <v>294</v>
      </c>
      <c r="J56" s="165"/>
      <c r="K56" s="149">
        <f>G56*H56</f>
        <v>0</v>
      </c>
      <c r="L56" s="149">
        <f t="shared" si="12"/>
        <v>0</v>
      </c>
      <c r="M56" s="151"/>
      <c r="N56" s="448"/>
      <c r="O56" s="451"/>
      <c r="P56" s="449"/>
      <c r="Q56" s="152"/>
      <c r="R56" s="243">
        <v>0</v>
      </c>
      <c r="S56" s="243">
        <v>0</v>
      </c>
      <c r="T56" s="243">
        <v>0</v>
      </c>
      <c r="U56" s="243">
        <v>0</v>
      </c>
      <c r="V56" s="243">
        <v>0</v>
      </c>
      <c r="W56" s="243">
        <v>0</v>
      </c>
      <c r="X56" s="243">
        <v>0</v>
      </c>
      <c r="Y56" s="77">
        <f t="shared" ref="Y56:Y63" si="14">SUM(R56:X56)</f>
        <v>0</v>
      </c>
    </row>
    <row r="57" spans="2:25" x14ac:dyDescent="0.25">
      <c r="B57" s="120" t="s">
        <v>346</v>
      </c>
      <c r="C57" s="23"/>
      <c r="D57" s="23" t="s">
        <v>3</v>
      </c>
      <c r="E57" s="23" t="s">
        <v>27</v>
      </c>
      <c r="F57" s="23" t="str">
        <f t="shared" ref="F57" si="15">D57&amp;E57</f>
        <v>SubtransmissionAugmentation</v>
      </c>
      <c r="G57" s="185">
        <v>0</v>
      </c>
      <c r="H57" s="171"/>
      <c r="I57" s="123" t="s">
        <v>294</v>
      </c>
      <c r="J57" s="165"/>
      <c r="K57" s="149">
        <f>G57*H57</f>
        <v>0</v>
      </c>
      <c r="L57" s="149">
        <f t="shared" ref="L57" si="16">SUMPRODUCT(R$5:X$5,R57:X57)/Thousands</f>
        <v>0</v>
      </c>
      <c r="M57" s="151"/>
      <c r="N57" s="448"/>
      <c r="O57" s="451"/>
      <c r="P57" s="449"/>
      <c r="Q57" s="152"/>
      <c r="R57" s="243">
        <v>0</v>
      </c>
      <c r="S57" s="243">
        <v>0</v>
      </c>
      <c r="T57" s="243">
        <v>0</v>
      </c>
      <c r="U57" s="243">
        <v>0</v>
      </c>
      <c r="V57" s="243">
        <v>0</v>
      </c>
      <c r="W57" s="243">
        <v>0</v>
      </c>
      <c r="X57" s="243">
        <v>0</v>
      </c>
      <c r="Y57" s="77">
        <f t="shared" ref="Y57" si="17">SUM(R57:X57)</f>
        <v>0</v>
      </c>
    </row>
    <row r="58" spans="2:25" x14ac:dyDescent="0.25">
      <c r="B58" s="120" t="s">
        <v>300</v>
      </c>
      <c r="C58" s="23"/>
      <c r="D58" s="23"/>
      <c r="E58" s="23"/>
      <c r="F58" s="23"/>
      <c r="G58" s="371"/>
      <c r="H58" s="372"/>
      <c r="I58" s="167"/>
      <c r="K58" s="149"/>
      <c r="L58" s="149"/>
      <c r="M58" s="168"/>
      <c r="N58" s="182"/>
      <c r="O58" s="181"/>
      <c r="P58" s="293"/>
      <c r="Q58" s="152"/>
      <c r="R58" s="243">
        <v>0</v>
      </c>
      <c r="S58" s="243">
        <v>0</v>
      </c>
      <c r="T58" s="243">
        <v>0</v>
      </c>
      <c r="U58" s="243">
        <v>0</v>
      </c>
      <c r="V58" s="243">
        <v>0</v>
      </c>
      <c r="W58" s="243">
        <v>0</v>
      </c>
      <c r="X58" s="243">
        <v>0</v>
      </c>
      <c r="Y58" s="77">
        <f t="shared" si="14"/>
        <v>0</v>
      </c>
    </row>
    <row r="59" spans="2:25" x14ac:dyDescent="0.25">
      <c r="B59" s="84"/>
      <c r="C59" s="23" t="s">
        <v>345</v>
      </c>
      <c r="D59" s="23" t="s">
        <v>3</v>
      </c>
      <c r="E59" s="23" t="s">
        <v>27</v>
      </c>
      <c r="F59" s="23" t="str">
        <f t="shared" ref="F59:F64" si="18">D59&amp;E59</f>
        <v>SubtransmissionAugmentation</v>
      </c>
      <c r="G59" s="185">
        <v>0</v>
      </c>
      <c r="H59" s="171"/>
      <c r="I59" s="123" t="s">
        <v>294</v>
      </c>
      <c r="K59" s="149">
        <f>G59*H59</f>
        <v>0</v>
      </c>
      <c r="L59" s="149">
        <f t="shared" ref="L59:L64" si="19">SUMPRODUCT(R$5:X$5,R59:X59)/Thousands</f>
        <v>0</v>
      </c>
      <c r="M59" s="151"/>
      <c r="N59" s="448"/>
      <c r="O59" s="451"/>
      <c r="P59" s="449"/>
      <c r="Q59" s="152"/>
      <c r="R59" s="243">
        <v>0</v>
      </c>
      <c r="S59" s="243">
        <v>0</v>
      </c>
      <c r="T59" s="243">
        <v>0</v>
      </c>
      <c r="U59" s="243">
        <v>0</v>
      </c>
      <c r="V59" s="243">
        <v>0</v>
      </c>
      <c r="W59" s="243">
        <v>0</v>
      </c>
      <c r="X59" s="243">
        <v>0</v>
      </c>
      <c r="Y59" s="77">
        <f t="shared" si="14"/>
        <v>0</v>
      </c>
    </row>
    <row r="60" spans="2:25" x14ac:dyDescent="0.25">
      <c r="B60" s="84"/>
      <c r="C60" s="23" t="s">
        <v>344</v>
      </c>
      <c r="D60" s="23" t="s">
        <v>3</v>
      </c>
      <c r="E60" s="23" t="s">
        <v>27</v>
      </c>
      <c r="F60" s="23" t="str">
        <f t="shared" ref="F60" si="20">D60&amp;E60</f>
        <v>SubtransmissionAugmentation</v>
      </c>
      <c r="G60" s="185">
        <v>0</v>
      </c>
      <c r="H60" s="171"/>
      <c r="I60" s="123" t="s">
        <v>294</v>
      </c>
      <c r="K60" s="149">
        <f>G60*H60</f>
        <v>0</v>
      </c>
      <c r="L60" s="149">
        <f t="shared" si="19"/>
        <v>0</v>
      </c>
      <c r="M60" s="151"/>
      <c r="N60" s="448"/>
      <c r="O60" s="451"/>
      <c r="P60" s="449"/>
      <c r="Q60" s="152"/>
      <c r="R60" s="243">
        <v>0</v>
      </c>
      <c r="S60" s="243">
        <v>0</v>
      </c>
      <c r="T60" s="243">
        <v>0</v>
      </c>
      <c r="U60" s="243">
        <v>0</v>
      </c>
      <c r="V60" s="243">
        <v>0</v>
      </c>
      <c r="W60" s="243">
        <v>0</v>
      </c>
      <c r="X60" s="243">
        <v>0</v>
      </c>
      <c r="Y60" s="77">
        <f t="shared" ref="Y60" si="21">SUM(R60:X60)</f>
        <v>0</v>
      </c>
    </row>
    <row r="61" spans="2:25" x14ac:dyDescent="0.25">
      <c r="B61" s="84"/>
      <c r="C61" s="23" t="s">
        <v>302</v>
      </c>
      <c r="D61" s="23" t="str">
        <f>Unit_Rates!G50</f>
        <v>Subtransmission</v>
      </c>
      <c r="E61" s="23" t="str">
        <f>Unit_Rates!H50</f>
        <v>Augmentation</v>
      </c>
      <c r="F61" s="23" t="str">
        <f t="shared" si="18"/>
        <v>SubtransmissionAugmentation</v>
      </c>
      <c r="G61" s="170">
        <f>Unit_Rates!$I$50</f>
        <v>131.39534883720927</v>
      </c>
      <c r="H61" s="171"/>
      <c r="I61" s="123" t="s">
        <v>294</v>
      </c>
      <c r="K61" s="149">
        <f>G61*H61</f>
        <v>0</v>
      </c>
      <c r="L61" s="149">
        <f t="shared" si="19"/>
        <v>0</v>
      </c>
      <c r="M61" s="151"/>
      <c r="N61" s="448"/>
      <c r="O61" s="448"/>
      <c r="P61" s="449"/>
      <c r="Q61" s="152">
        <f>P61-H61*VLOOKUP("Oil separator",Unit_Rates!$C$7:$E$51,3,FALSE)</f>
        <v>0</v>
      </c>
      <c r="R61" s="243">
        <v>0</v>
      </c>
      <c r="S61" s="243">
        <v>0</v>
      </c>
      <c r="T61" s="243">
        <v>0</v>
      </c>
      <c r="U61" s="243">
        <v>0</v>
      </c>
      <c r="V61" s="243">
        <v>0</v>
      </c>
      <c r="W61" s="243">
        <v>0</v>
      </c>
      <c r="X61" s="243">
        <v>0</v>
      </c>
      <c r="Y61" s="77">
        <f t="shared" si="14"/>
        <v>0</v>
      </c>
    </row>
    <row r="62" spans="2:25" x14ac:dyDescent="0.25">
      <c r="B62" s="84"/>
      <c r="C62" s="326" t="s">
        <v>303</v>
      </c>
      <c r="D62" s="23" t="s">
        <v>3</v>
      </c>
      <c r="E62" s="23" t="s">
        <v>27</v>
      </c>
      <c r="F62" s="23" t="str">
        <f t="shared" si="18"/>
        <v>SubtransmissionAugmentation</v>
      </c>
      <c r="G62" s="185">
        <v>0</v>
      </c>
      <c r="H62" s="171"/>
      <c r="I62" s="123" t="s">
        <v>294</v>
      </c>
      <c r="K62" s="149">
        <f>G62*H62</f>
        <v>0</v>
      </c>
      <c r="L62" s="149">
        <f t="shared" si="19"/>
        <v>0</v>
      </c>
      <c r="M62" s="151"/>
      <c r="N62" s="448"/>
      <c r="O62" s="451"/>
      <c r="P62" s="449"/>
      <c r="Q62" s="235"/>
      <c r="R62" s="153"/>
      <c r="S62" s="153"/>
      <c r="T62" s="153"/>
      <c r="U62" s="153"/>
      <c r="V62" s="153"/>
      <c r="W62" s="153"/>
      <c r="X62" s="153"/>
      <c r="Y62" s="77"/>
    </row>
    <row r="63" spans="2:25" x14ac:dyDescent="0.25">
      <c r="B63" s="120" t="s">
        <v>304</v>
      </c>
      <c r="C63" s="326"/>
      <c r="D63" s="23" t="s">
        <v>3</v>
      </c>
      <c r="E63" s="23" t="s">
        <v>27</v>
      </c>
      <c r="F63" s="23" t="str">
        <f t="shared" si="18"/>
        <v>SubtransmissionAugmentation</v>
      </c>
      <c r="G63" s="170">
        <v>0</v>
      </c>
      <c r="H63" s="171"/>
      <c r="I63" s="123" t="s">
        <v>294</v>
      </c>
      <c r="K63" s="149">
        <f>G63*H63</f>
        <v>0</v>
      </c>
      <c r="L63" s="166">
        <f t="shared" si="19"/>
        <v>0</v>
      </c>
      <c r="M63" s="188"/>
      <c r="N63" s="448"/>
      <c r="O63" s="446"/>
      <c r="P63" s="449"/>
      <c r="Q63" s="235"/>
      <c r="R63" s="243">
        <v>0</v>
      </c>
      <c r="S63" s="243">
        <v>0</v>
      </c>
      <c r="T63" s="243">
        <v>0</v>
      </c>
      <c r="U63" s="243">
        <v>0</v>
      </c>
      <c r="V63" s="243">
        <v>0</v>
      </c>
      <c r="W63" s="243">
        <v>0</v>
      </c>
      <c r="X63" s="243">
        <v>0</v>
      </c>
      <c r="Y63" s="77">
        <f t="shared" si="14"/>
        <v>0</v>
      </c>
    </row>
    <row r="64" spans="2:25" x14ac:dyDescent="0.25">
      <c r="B64" s="120" t="s">
        <v>305</v>
      </c>
      <c r="C64" s="23"/>
      <c r="D64" s="23" t="s">
        <v>4</v>
      </c>
      <c r="E64" s="23" t="s">
        <v>29</v>
      </c>
      <c r="F64" s="23" t="str">
        <f t="shared" si="18"/>
        <v>LandNon-Network</v>
      </c>
      <c r="G64" s="170">
        <v>0</v>
      </c>
      <c r="H64" s="271"/>
      <c r="I64" s="123" t="s">
        <v>294</v>
      </c>
      <c r="K64" s="166">
        <v>0</v>
      </c>
      <c r="L64" s="166">
        <f t="shared" si="19"/>
        <v>0</v>
      </c>
      <c r="M64" s="188"/>
      <c r="N64" s="448"/>
      <c r="O64" s="446"/>
      <c r="P64" s="449"/>
      <c r="Q64" s="235"/>
      <c r="R64" s="270"/>
      <c r="S64" s="270"/>
      <c r="T64" s="270"/>
      <c r="U64" s="270"/>
      <c r="V64" s="270"/>
      <c r="W64" s="270"/>
      <c r="X64" s="270"/>
      <c r="Y64" s="77"/>
    </row>
    <row r="65" spans="2:35" x14ac:dyDescent="0.25">
      <c r="B65" s="84"/>
      <c r="C65" s="23"/>
      <c r="D65" s="23"/>
      <c r="E65" s="23"/>
      <c r="F65" s="23"/>
      <c r="G65" s="371"/>
      <c r="H65" s="374"/>
      <c r="I65" s="167"/>
      <c r="K65" s="191"/>
      <c r="L65" s="191"/>
      <c r="M65" s="192"/>
      <c r="N65" s="192"/>
      <c r="O65" s="192"/>
      <c r="P65" s="192"/>
    </row>
    <row r="66" spans="2:35" x14ac:dyDescent="0.25">
      <c r="B66" s="120" t="s">
        <v>468</v>
      </c>
      <c r="C66" s="23"/>
      <c r="D66" s="23"/>
      <c r="E66" s="23"/>
      <c r="F66" s="23"/>
      <c r="G66" s="371"/>
      <c r="H66" s="374"/>
      <c r="I66" s="167"/>
      <c r="K66" s="193">
        <v>990.81769654882396</v>
      </c>
      <c r="L66" s="193">
        <v>414.50450975869444</v>
      </c>
      <c r="M66" s="194">
        <v>469.17160092727744</v>
      </c>
      <c r="N66" s="194">
        <v>1344.9624175634333</v>
      </c>
      <c r="O66" s="194">
        <v>126.42510952343997</v>
      </c>
      <c r="P66" s="194">
        <v>3345.8813343216693</v>
      </c>
      <c r="Q66" s="406"/>
    </row>
    <row r="67" spans="2:35" x14ac:dyDescent="0.25">
      <c r="B67" s="195" t="s">
        <v>307</v>
      </c>
      <c r="C67" s="327"/>
      <c r="D67" s="327"/>
      <c r="E67" s="327"/>
      <c r="F67" s="327"/>
      <c r="G67" s="375"/>
      <c r="H67" s="376"/>
      <c r="I67" s="196"/>
      <c r="J67" s="102"/>
      <c r="K67" s="197"/>
      <c r="L67" s="198"/>
      <c r="M67" s="198"/>
      <c r="N67" s="198"/>
      <c r="O67" s="198"/>
      <c r="P67" s="199"/>
    </row>
    <row r="68" spans="2:35" ht="30" x14ac:dyDescent="0.25">
      <c r="B68" s="143" t="s">
        <v>308</v>
      </c>
      <c r="C68" s="324"/>
      <c r="D68" s="324"/>
      <c r="E68" s="324"/>
      <c r="F68" s="324"/>
      <c r="G68" s="377" t="s">
        <v>309</v>
      </c>
      <c r="H68" s="378" t="s">
        <v>279</v>
      </c>
      <c r="I68" s="67" t="s">
        <v>280</v>
      </c>
      <c r="J68" s="102"/>
      <c r="K68" s="67" t="s">
        <v>21</v>
      </c>
      <c r="L68" s="67" t="s">
        <v>22</v>
      </c>
      <c r="M68" s="200" t="s">
        <v>23</v>
      </c>
      <c r="N68" s="200" t="s">
        <v>24</v>
      </c>
      <c r="O68" s="67" t="s">
        <v>25</v>
      </c>
      <c r="P68" s="67" t="s">
        <v>26</v>
      </c>
    </row>
    <row r="69" spans="2:35" x14ac:dyDescent="0.25">
      <c r="B69" s="120"/>
      <c r="C69" s="23"/>
      <c r="D69" s="23"/>
      <c r="E69" s="23"/>
      <c r="F69" s="23"/>
      <c r="G69" s="373"/>
      <c r="H69" s="374"/>
      <c r="I69" s="167"/>
      <c r="K69" s="203"/>
      <c r="L69" s="203"/>
      <c r="M69" s="203"/>
      <c r="N69" s="203"/>
      <c r="O69" s="203"/>
      <c r="P69" s="167"/>
    </row>
    <row r="70" spans="2:35" x14ac:dyDescent="0.25">
      <c r="B70" s="120" t="s">
        <v>471</v>
      </c>
      <c r="C70" s="23"/>
      <c r="D70" s="23"/>
      <c r="E70" s="23"/>
      <c r="F70" s="23"/>
      <c r="G70" s="373"/>
      <c r="H70" s="374"/>
      <c r="I70" s="167"/>
      <c r="K70" s="203"/>
      <c r="L70" s="203"/>
      <c r="M70" s="203"/>
      <c r="N70" s="203"/>
      <c r="O70" s="203"/>
      <c r="P70" s="167"/>
      <c r="Y70" s="77"/>
    </row>
    <row r="71" spans="2:35" x14ac:dyDescent="0.25">
      <c r="B71" s="120"/>
      <c r="C71" s="23" t="s">
        <v>428</v>
      </c>
      <c r="D71" s="305" t="str">
        <f>Unit_Rates!G98</f>
        <v>Distribution system assets</v>
      </c>
      <c r="E71" s="305" t="str">
        <f>Unit_Rates!H98</f>
        <v>Augmentation</v>
      </c>
      <c r="F71" s="23" t="str">
        <f t="shared" ref="F71" si="22">D71&amp;E71</f>
        <v>Distribution system assetsAugmentation</v>
      </c>
      <c r="G71" s="405">
        <f>Unit_Rates!I98</f>
        <v>3.647891986062729E-2</v>
      </c>
      <c r="H71" s="350">
        <v>940</v>
      </c>
      <c r="I71" s="123" t="s">
        <v>295</v>
      </c>
      <c r="J71" s="108"/>
      <c r="K71" s="170">
        <f>G71*H71</f>
        <v>34.290184668989653</v>
      </c>
      <c r="L71" s="170">
        <f t="shared" ref="L71" si="23">SUMPRODUCT(R$5:X$5,R71:X71)/Thousands</f>
        <v>0</v>
      </c>
      <c r="M71" s="170"/>
      <c r="N71" s="446"/>
      <c r="O71" s="446"/>
      <c r="P71" s="456"/>
      <c r="Q71" s="77">
        <f>P71-H71*Unit_Rates!$E$98</f>
        <v>0</v>
      </c>
      <c r="R71" s="250">
        <f t="shared" ref="R71" si="24">$AI71*Z71*$H71</f>
        <v>0</v>
      </c>
      <c r="S71" s="250">
        <f t="shared" ref="S71:X71" si="25">$AI71*AA71*$H71</f>
        <v>0</v>
      </c>
      <c r="T71" s="250">
        <f t="shared" si="25"/>
        <v>0</v>
      </c>
      <c r="U71" s="250">
        <f t="shared" si="25"/>
        <v>0</v>
      </c>
      <c r="V71" s="250">
        <f t="shared" si="25"/>
        <v>0</v>
      </c>
      <c r="W71" s="250">
        <f t="shared" si="25"/>
        <v>0</v>
      </c>
      <c r="X71" s="250">
        <f t="shared" si="25"/>
        <v>0</v>
      </c>
      <c r="Y71" s="304">
        <f t="shared" ref="Y71" si="26">SUM(R71:X71)</f>
        <v>0</v>
      </c>
      <c r="Z71" s="6"/>
      <c r="AA71" s="6"/>
      <c r="AB71" s="6"/>
      <c r="AC71" s="6"/>
      <c r="AD71" s="6"/>
      <c r="AE71" s="6"/>
      <c r="AF71" s="6"/>
      <c r="AG71" s="8"/>
      <c r="AI71" s="96"/>
    </row>
    <row r="72" spans="2:35" x14ac:dyDescent="0.25">
      <c r="B72" s="120"/>
      <c r="C72" s="23" t="s">
        <v>429</v>
      </c>
      <c r="D72" s="305" t="str">
        <f>Unit_Rates!G99</f>
        <v>Distribution system assets</v>
      </c>
      <c r="E72" s="305" t="str">
        <f>Unit_Rates!H99</f>
        <v>Augmentation</v>
      </c>
      <c r="F72" s="23" t="str">
        <f t="shared" ref="F72" si="27">D72&amp;E72</f>
        <v>Distribution system assetsAugmentation</v>
      </c>
      <c r="G72" s="405">
        <f>Unit_Rates!I97</f>
        <v>38.181794425087219</v>
      </c>
      <c r="H72" s="350">
        <v>2</v>
      </c>
      <c r="I72" s="123" t="s">
        <v>294</v>
      </c>
      <c r="J72" s="108"/>
      <c r="K72" s="211">
        <f>G72*H72</f>
        <v>76.363588850174438</v>
      </c>
      <c r="L72" s="211">
        <f t="shared" ref="L72" si="28">SUMPRODUCT(R$5:X$5,R72:X72)/Thousands</f>
        <v>0</v>
      </c>
      <c r="M72" s="211"/>
      <c r="N72" s="447"/>
      <c r="O72" s="447"/>
      <c r="P72" s="457"/>
      <c r="Q72" s="77">
        <f>P72-H72*Unit_Rates!$E$97</f>
        <v>0</v>
      </c>
      <c r="R72" s="250">
        <f t="shared" ref="R72" si="29">$AI72*Z72*$H72</f>
        <v>0</v>
      </c>
      <c r="S72" s="250">
        <f t="shared" ref="S72" si="30">$AI72*AA72*$H72</f>
        <v>0</v>
      </c>
      <c r="T72" s="250">
        <f t="shared" ref="T72" si="31">$AI72*AB72*$H72</f>
        <v>0</v>
      </c>
      <c r="U72" s="250">
        <f t="shared" ref="U72" si="32">$AI72*AC72*$H72</f>
        <v>0</v>
      </c>
      <c r="V72" s="250">
        <f t="shared" ref="V72" si="33">$AI72*AD72*$H72</f>
        <v>0</v>
      </c>
      <c r="W72" s="250">
        <f t="shared" ref="W72" si="34">$AI72*AE72*$H72</f>
        <v>0</v>
      </c>
      <c r="X72" s="250">
        <f t="shared" ref="X72" si="35">$AI72*AF72*$H72</f>
        <v>0</v>
      </c>
      <c r="Y72" s="304">
        <f t="shared" ref="Y72" si="36">SUM(R72:X72)</f>
        <v>0</v>
      </c>
      <c r="Z72" s="6"/>
      <c r="AA72" s="6"/>
      <c r="AB72" s="6"/>
      <c r="AC72" s="6"/>
      <c r="AD72" s="6"/>
      <c r="AE72" s="6"/>
      <c r="AF72" s="6"/>
      <c r="AG72" s="8"/>
      <c r="AI72" s="96"/>
    </row>
    <row r="73" spans="2:35" x14ac:dyDescent="0.25">
      <c r="B73" s="120"/>
      <c r="C73" s="23" t="s">
        <v>472</v>
      </c>
      <c r="D73" s="23"/>
      <c r="E73" s="23"/>
      <c r="F73" s="23"/>
      <c r="G73" s="212"/>
      <c r="H73" s="379"/>
      <c r="I73" s="167"/>
      <c r="K73" s="212">
        <v>110.65377351916409</v>
      </c>
      <c r="L73" s="212">
        <v>0</v>
      </c>
      <c r="M73" s="212">
        <v>0</v>
      </c>
      <c r="N73" s="212">
        <v>755.9350566202113</v>
      </c>
      <c r="O73" s="212">
        <v>1.6241289198606319</v>
      </c>
      <c r="P73" s="212">
        <v>868.21295905923603</v>
      </c>
      <c r="Q73" s="22"/>
      <c r="R73" s="238"/>
      <c r="S73" s="238"/>
      <c r="T73" s="238"/>
      <c r="U73" s="238"/>
      <c r="V73" s="238"/>
      <c r="W73" s="238"/>
      <c r="X73" s="238"/>
      <c r="AI73" s="97"/>
    </row>
    <row r="74" spans="2:35" x14ac:dyDescent="0.25">
      <c r="B74" s="84"/>
      <c r="G74" s="167"/>
      <c r="H74" s="84"/>
      <c r="I74" s="167"/>
      <c r="K74" s="203"/>
      <c r="L74" s="203"/>
      <c r="M74" s="203"/>
      <c r="N74" s="203"/>
      <c r="O74" s="203"/>
      <c r="P74" s="167"/>
    </row>
    <row r="75" spans="2:35" x14ac:dyDescent="0.25">
      <c r="B75" s="120" t="s">
        <v>330</v>
      </c>
      <c r="G75" s="167"/>
      <c r="H75" s="84"/>
      <c r="I75" s="167"/>
      <c r="K75" s="193">
        <f t="shared" ref="K75:P75" si="37">SUM(K73:K73)</f>
        <v>110.65377351916409</v>
      </c>
      <c r="L75" s="193">
        <f t="shared" si="37"/>
        <v>0</v>
      </c>
      <c r="M75" s="193">
        <f t="shared" si="37"/>
        <v>0</v>
      </c>
      <c r="N75" s="193">
        <f t="shared" si="37"/>
        <v>755.9350566202113</v>
      </c>
      <c r="O75" s="193">
        <f t="shared" si="37"/>
        <v>1.6241289198606319</v>
      </c>
      <c r="P75" s="193">
        <f t="shared" si="37"/>
        <v>868.21295905923603</v>
      </c>
      <c r="R75" s="153"/>
      <c r="S75" s="153"/>
      <c r="T75" s="153"/>
    </row>
    <row r="76" spans="2:35" x14ac:dyDescent="0.25">
      <c r="B76" s="195" t="s">
        <v>307</v>
      </c>
      <c r="C76" s="102"/>
      <c r="D76" s="102"/>
      <c r="E76" s="102"/>
      <c r="F76" s="102"/>
      <c r="G76" s="102"/>
      <c r="H76" s="102"/>
      <c r="I76" s="102"/>
      <c r="J76" s="102"/>
      <c r="K76" s="217"/>
      <c r="L76" s="217"/>
      <c r="M76" s="217"/>
      <c r="N76" s="217"/>
      <c r="O76" s="217"/>
      <c r="P76" s="218"/>
      <c r="Q76" s="22"/>
    </row>
    <row r="77" spans="2:35" x14ac:dyDescent="0.25">
      <c r="B77" s="84"/>
      <c r="K77" s="165"/>
      <c r="L77" s="165"/>
      <c r="M77" s="165"/>
      <c r="N77" s="165"/>
      <c r="O77" s="165"/>
      <c r="P77" s="254"/>
    </row>
    <row r="78" spans="2:35" x14ac:dyDescent="0.25">
      <c r="B78" s="120" t="s">
        <v>33</v>
      </c>
      <c r="C78" s="3"/>
      <c r="D78" s="3"/>
      <c r="E78" s="3"/>
      <c r="F78" s="3"/>
      <c r="G78" s="3"/>
      <c r="H78" s="3"/>
      <c r="I78" s="3"/>
      <c r="J78" s="3"/>
      <c r="K78" s="221">
        <f t="shared" ref="K78:P78" si="38">K66+K75</f>
        <v>1101.4714700679881</v>
      </c>
      <c r="L78" s="221">
        <f t="shared" si="38"/>
        <v>414.50450975869444</v>
      </c>
      <c r="M78" s="221">
        <f t="shared" si="38"/>
        <v>469.17160092727744</v>
      </c>
      <c r="N78" s="221">
        <f t="shared" si="38"/>
        <v>2100.8974741836446</v>
      </c>
      <c r="O78" s="221">
        <f t="shared" si="38"/>
        <v>128.0492384433006</v>
      </c>
      <c r="P78" s="255">
        <f t="shared" si="38"/>
        <v>4214.0942933809056</v>
      </c>
    </row>
    <row r="79" spans="2:35" x14ac:dyDescent="0.25">
      <c r="B79" s="224" t="s">
        <v>307</v>
      </c>
      <c r="C79" s="225"/>
      <c r="D79" s="225"/>
      <c r="E79" s="225"/>
      <c r="F79" s="225"/>
      <c r="G79" s="225"/>
      <c r="H79" s="225"/>
      <c r="I79" s="225"/>
      <c r="J79" s="225"/>
      <c r="K79" s="266"/>
      <c r="L79" s="266"/>
      <c r="M79" s="266"/>
      <c r="N79" s="266"/>
      <c r="O79" s="266"/>
      <c r="P79" s="256"/>
    </row>
    <row r="81" spans="3:16" x14ac:dyDescent="0.25">
      <c r="H81" s="57"/>
    </row>
    <row r="82" spans="3:16" outlineLevel="1" x14ac:dyDescent="0.25">
      <c r="C82" t="s">
        <v>469</v>
      </c>
      <c r="D82" t="s">
        <v>3</v>
      </c>
      <c r="E82" t="s">
        <v>27</v>
      </c>
      <c r="F82" t="str">
        <f t="shared" ref="F82:F105" si="39">D82&amp;E82</f>
        <v>SubtransmissionAugmentation</v>
      </c>
      <c r="K82" s="4">
        <v>988.81769654882396</v>
      </c>
      <c r="L82" s="4">
        <v>19.997953149681493</v>
      </c>
      <c r="M82" s="4">
        <v>19.171600927277439</v>
      </c>
      <c r="N82" s="4">
        <v>1003.8154175634334</v>
      </c>
      <c r="O82" s="4">
        <v>126.42510952343997</v>
      </c>
      <c r="P82" s="4">
        <v>2158.2277777126565</v>
      </c>
    </row>
    <row r="83" spans="3:16" outlineLevel="1" x14ac:dyDescent="0.25">
      <c r="D83" t="s">
        <v>3</v>
      </c>
      <c r="E83" t="s">
        <v>28</v>
      </c>
      <c r="F83" t="str">
        <f t="shared" si="39"/>
        <v>SubtransmissionReplacement</v>
      </c>
      <c r="K83" s="4">
        <v>0</v>
      </c>
      <c r="L83" s="4">
        <v>0</v>
      </c>
      <c r="M83" s="4">
        <v>0</v>
      </c>
      <c r="N83" s="4">
        <v>0</v>
      </c>
      <c r="O83" s="4">
        <v>0</v>
      </c>
      <c r="P83" s="4">
        <v>0</v>
      </c>
    </row>
    <row r="84" spans="3:16" outlineLevel="1" x14ac:dyDescent="0.25">
      <c r="D84" t="s">
        <v>92</v>
      </c>
      <c r="E84" t="s">
        <v>27</v>
      </c>
      <c r="F84" t="str">
        <f t="shared" ref="F84" si="40">D84&amp;E84</f>
        <v>Distribution system assetsAugmentation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</row>
    <row r="85" spans="3:16" outlineLevel="1" x14ac:dyDescent="0.25">
      <c r="D85" t="s">
        <v>2</v>
      </c>
      <c r="E85" t="s">
        <v>27</v>
      </c>
      <c r="F85" t="str">
        <f t="shared" si="39"/>
        <v>SCADA/Network controlAugmentation</v>
      </c>
      <c r="K85" s="4">
        <v>2</v>
      </c>
      <c r="L85" s="4">
        <v>0</v>
      </c>
      <c r="M85" s="4">
        <v>0</v>
      </c>
      <c r="N85" s="4">
        <v>20.876000000000001</v>
      </c>
      <c r="O85" s="4">
        <v>0</v>
      </c>
      <c r="P85" s="4">
        <v>22.876000000000001</v>
      </c>
    </row>
    <row r="86" spans="3:16" outlineLevel="1" x14ac:dyDescent="0.25">
      <c r="D86" t="s">
        <v>2</v>
      </c>
      <c r="E86" t="s">
        <v>28</v>
      </c>
      <c r="F86" t="str">
        <f t="shared" si="39"/>
        <v>SCADA/Network controlReplacement</v>
      </c>
      <c r="K86" s="4">
        <v>0</v>
      </c>
      <c r="L86" s="4">
        <v>0</v>
      </c>
      <c r="M86" s="4">
        <v>0</v>
      </c>
      <c r="N86" s="4">
        <v>0</v>
      </c>
      <c r="O86" s="4">
        <v>0</v>
      </c>
      <c r="P86" s="4">
        <v>0</v>
      </c>
    </row>
    <row r="87" spans="3:16" outlineLevel="1" x14ac:dyDescent="0.25">
      <c r="D87" t="s">
        <v>4</v>
      </c>
      <c r="E87" t="s">
        <v>29</v>
      </c>
      <c r="F87" t="str">
        <f t="shared" si="39"/>
        <v>LandNon-Network</v>
      </c>
      <c r="K87" s="230">
        <v>0</v>
      </c>
      <c r="L87" s="230">
        <v>0</v>
      </c>
      <c r="M87" s="230">
        <v>0</v>
      </c>
      <c r="N87" s="230">
        <v>320.27100000000002</v>
      </c>
      <c r="O87" s="230">
        <v>0</v>
      </c>
      <c r="P87" s="230">
        <v>320.27100000000002</v>
      </c>
    </row>
    <row r="88" spans="3:16" outlineLevel="1" x14ac:dyDescent="0.25">
      <c r="K88" s="4">
        <v>990.81769654882396</v>
      </c>
      <c r="L88" s="4">
        <v>19.997953149681493</v>
      </c>
      <c r="M88" s="4">
        <v>19.171600927277439</v>
      </c>
      <c r="N88" s="4">
        <v>1344.9624175634333</v>
      </c>
      <c r="O88" s="4">
        <v>126.42510952343997</v>
      </c>
      <c r="P88" s="4">
        <v>2501.3747777126569</v>
      </c>
    </row>
    <row r="89" spans="3:16" outlineLevel="1" x14ac:dyDescent="0.25">
      <c r="C89" t="s">
        <v>331</v>
      </c>
      <c r="D89" t="s">
        <v>3</v>
      </c>
      <c r="E89" t="s">
        <v>27</v>
      </c>
      <c r="F89" t="str">
        <f t="shared" ref="F89:F94" si="41">D89&amp;E89</f>
        <v>SubtransmissionAugmentation</v>
      </c>
      <c r="K89" s="4"/>
      <c r="L89" s="4">
        <v>340.38682109920524</v>
      </c>
      <c r="M89" s="4">
        <v>388.26748739299131</v>
      </c>
      <c r="N89" s="4">
        <v>0</v>
      </c>
      <c r="O89" s="4"/>
      <c r="P89" s="4">
        <v>728.65430849219661</v>
      </c>
    </row>
    <row r="90" spans="3:16" outlineLevel="1" x14ac:dyDescent="0.25">
      <c r="D90" t="s">
        <v>3</v>
      </c>
      <c r="E90" t="s">
        <v>28</v>
      </c>
      <c r="F90" t="str">
        <f t="shared" si="41"/>
        <v>SubtransmissionReplacement</v>
      </c>
      <c r="K90" s="4"/>
      <c r="L90" s="232">
        <v>0</v>
      </c>
      <c r="M90" s="232">
        <v>0</v>
      </c>
      <c r="N90" s="232">
        <v>0</v>
      </c>
      <c r="O90" s="4"/>
      <c r="P90" s="4">
        <v>0</v>
      </c>
    </row>
    <row r="91" spans="3:16" outlineLevel="1" x14ac:dyDescent="0.25">
      <c r="D91" t="s">
        <v>92</v>
      </c>
      <c r="E91" t="s">
        <v>27</v>
      </c>
      <c r="F91" t="str">
        <f t="shared" ref="F91" si="42">D91&amp;E91</f>
        <v>Distribution system assetsAugmentation</v>
      </c>
      <c r="K91" s="4"/>
      <c r="L91" s="232">
        <v>0</v>
      </c>
      <c r="M91" s="232">
        <v>0</v>
      </c>
      <c r="N91" s="232">
        <v>0</v>
      </c>
      <c r="O91" s="4"/>
      <c r="P91" s="4">
        <v>0</v>
      </c>
    </row>
    <row r="92" spans="3:16" outlineLevel="1" x14ac:dyDescent="0.25">
      <c r="D92" t="s">
        <v>2</v>
      </c>
      <c r="E92" t="s">
        <v>27</v>
      </c>
      <c r="F92" t="str">
        <f t="shared" si="41"/>
        <v>SCADA/Network controlAugmentation</v>
      </c>
      <c r="K92" s="4"/>
      <c r="L92" s="4">
        <v>3.6079087665704797</v>
      </c>
      <c r="M92" s="4">
        <v>4.1154168866343852</v>
      </c>
      <c r="N92" s="4">
        <v>0</v>
      </c>
      <c r="O92" s="4"/>
      <c r="P92" s="4">
        <v>7.7233256532048653</v>
      </c>
    </row>
    <row r="93" spans="3:16" outlineLevel="1" x14ac:dyDescent="0.25">
      <c r="D93" t="s">
        <v>2</v>
      </c>
      <c r="E93" t="s">
        <v>28</v>
      </c>
      <c r="F93" t="str">
        <f t="shared" si="41"/>
        <v>SCADA/Network controlReplacement</v>
      </c>
      <c r="K93" s="4"/>
      <c r="L93" s="4">
        <v>0</v>
      </c>
      <c r="M93" s="4">
        <v>0</v>
      </c>
      <c r="N93" s="4">
        <v>0</v>
      </c>
      <c r="O93" s="4"/>
      <c r="P93" s="4">
        <v>0</v>
      </c>
    </row>
    <row r="94" spans="3:16" outlineLevel="1" x14ac:dyDescent="0.25">
      <c r="D94" t="s">
        <v>4</v>
      </c>
      <c r="E94" t="s">
        <v>29</v>
      </c>
      <c r="F94" t="str">
        <f t="shared" si="41"/>
        <v>LandNon-Network</v>
      </c>
      <c r="K94" s="230"/>
      <c r="L94" s="230">
        <v>50.511826743237201</v>
      </c>
      <c r="M94" s="230">
        <v>57.617095720374252</v>
      </c>
      <c r="N94" s="230">
        <v>0</v>
      </c>
      <c r="O94" s="230"/>
      <c r="P94" s="230">
        <v>108.12892246361145</v>
      </c>
    </row>
    <row r="95" spans="3:16" outlineLevel="1" x14ac:dyDescent="0.25">
      <c r="K95" s="4">
        <v>0</v>
      </c>
      <c r="L95" s="4">
        <v>394.50655660901288</v>
      </c>
      <c r="M95" s="4">
        <v>449.99999999999994</v>
      </c>
      <c r="N95" s="4">
        <v>0</v>
      </c>
      <c r="O95" s="4">
        <v>0</v>
      </c>
      <c r="P95" s="4">
        <v>844.50655660901293</v>
      </c>
    </row>
    <row r="96" spans="3:16" outlineLevel="1" x14ac:dyDescent="0.25">
      <c r="C96" t="s">
        <v>470</v>
      </c>
      <c r="D96" t="s">
        <v>3</v>
      </c>
      <c r="E96" t="s">
        <v>27</v>
      </c>
      <c r="F96" t="str">
        <f t="shared" ref="F96:F101" si="43">D96&amp;E96</f>
        <v>SubtransmissionAugmentation</v>
      </c>
      <c r="K96" s="4">
        <v>988.81769654882396</v>
      </c>
      <c r="L96" s="4">
        <v>360.38477424888674</v>
      </c>
      <c r="M96" s="4">
        <v>407.43908832026875</v>
      </c>
      <c r="N96" s="4">
        <v>1003.8154175634334</v>
      </c>
      <c r="O96" s="4">
        <v>126.42510952343997</v>
      </c>
      <c r="P96" s="4">
        <v>2886.8820862048533</v>
      </c>
    </row>
    <row r="97" spans="3:16" outlineLevel="1" x14ac:dyDescent="0.25">
      <c r="D97" t="s">
        <v>3</v>
      </c>
      <c r="E97" t="s">
        <v>28</v>
      </c>
      <c r="F97" t="str">
        <f t="shared" si="43"/>
        <v>SubtransmissionReplacement</v>
      </c>
      <c r="K97" s="4">
        <v>0</v>
      </c>
      <c r="L97" s="4">
        <v>0</v>
      </c>
      <c r="M97" s="4">
        <v>0</v>
      </c>
      <c r="N97" s="4">
        <v>0</v>
      </c>
      <c r="O97" s="4">
        <v>0</v>
      </c>
      <c r="P97" s="4">
        <v>0</v>
      </c>
    </row>
    <row r="98" spans="3:16" outlineLevel="1" x14ac:dyDescent="0.25">
      <c r="D98" t="s">
        <v>92</v>
      </c>
      <c r="E98" t="s">
        <v>27</v>
      </c>
      <c r="F98" t="str">
        <f t="shared" ref="F98" si="44">D98&amp;E98</f>
        <v>Distribution system assetsAugmentation</v>
      </c>
      <c r="K98" s="4">
        <v>0</v>
      </c>
      <c r="L98" s="4">
        <v>0</v>
      </c>
      <c r="M98" s="4">
        <v>0</v>
      </c>
      <c r="N98" s="4">
        <v>0</v>
      </c>
      <c r="O98" s="4">
        <v>0</v>
      </c>
      <c r="P98" s="4">
        <v>0</v>
      </c>
    </row>
    <row r="99" spans="3:16" outlineLevel="1" x14ac:dyDescent="0.25">
      <c r="D99" t="s">
        <v>2</v>
      </c>
      <c r="E99" t="s">
        <v>27</v>
      </c>
      <c r="F99" t="str">
        <f t="shared" si="43"/>
        <v>SCADA/Network controlAugmentation</v>
      </c>
      <c r="K99" s="4">
        <v>2</v>
      </c>
      <c r="L99" s="4">
        <v>3.6079087665704797</v>
      </c>
      <c r="M99" s="4">
        <v>4.1154168866343852</v>
      </c>
      <c r="N99" s="4">
        <v>20.876000000000001</v>
      </c>
      <c r="O99" s="4">
        <v>0</v>
      </c>
      <c r="P99" s="4">
        <v>30.599325653204865</v>
      </c>
    </row>
    <row r="100" spans="3:16" outlineLevel="1" x14ac:dyDescent="0.25">
      <c r="D100" t="s">
        <v>2</v>
      </c>
      <c r="E100" t="s">
        <v>28</v>
      </c>
      <c r="F100" t="str">
        <f t="shared" si="43"/>
        <v>SCADA/Network controlReplacement</v>
      </c>
      <c r="K100" s="4">
        <v>0</v>
      </c>
      <c r="L100" s="4">
        <v>0</v>
      </c>
      <c r="M100" s="4">
        <v>0</v>
      </c>
      <c r="N100" s="4">
        <v>0</v>
      </c>
      <c r="O100" s="4">
        <v>0</v>
      </c>
      <c r="P100" s="4">
        <v>0</v>
      </c>
    </row>
    <row r="101" spans="3:16" outlineLevel="1" x14ac:dyDescent="0.25">
      <c r="D101" t="s">
        <v>4</v>
      </c>
      <c r="E101" t="s">
        <v>29</v>
      </c>
      <c r="F101" t="str">
        <f t="shared" si="43"/>
        <v>LandNon-Network</v>
      </c>
      <c r="K101" s="230">
        <v>0</v>
      </c>
      <c r="L101" s="230">
        <v>50.511826743237201</v>
      </c>
      <c r="M101" s="230">
        <v>57.617095720374252</v>
      </c>
      <c r="N101" s="230">
        <v>320.27100000000002</v>
      </c>
      <c r="O101" s="230">
        <v>0</v>
      </c>
      <c r="P101" s="230">
        <v>428.39992246361146</v>
      </c>
    </row>
    <row r="102" spans="3:16" outlineLevel="1" x14ac:dyDescent="0.25">
      <c r="K102" s="4">
        <v>990.81769654882396</v>
      </c>
      <c r="L102" s="4">
        <v>414.50450975869438</v>
      </c>
      <c r="M102" s="4">
        <v>469.17160092727738</v>
      </c>
      <c r="N102" s="4">
        <v>1344.9624175634333</v>
      </c>
      <c r="O102" s="4">
        <v>126.42510952343997</v>
      </c>
      <c r="P102" s="4">
        <v>3345.8813343216693</v>
      </c>
    </row>
    <row r="103" spans="3:16" outlineLevel="1" x14ac:dyDescent="0.25">
      <c r="K103" s="97">
        <v>0</v>
      </c>
      <c r="L103" s="97">
        <v>0</v>
      </c>
      <c r="M103" s="97">
        <v>0</v>
      </c>
      <c r="N103" s="97">
        <v>0</v>
      </c>
      <c r="O103" s="97">
        <v>0</v>
      </c>
      <c r="P103" s="97">
        <v>0</v>
      </c>
    </row>
    <row r="104" spans="3:16" outlineLevel="1" x14ac:dyDescent="0.25">
      <c r="C104" t="s">
        <v>471</v>
      </c>
      <c r="D104" t="s">
        <v>92</v>
      </c>
      <c r="E104" t="s">
        <v>27</v>
      </c>
      <c r="F104" t="str">
        <f t="shared" si="39"/>
        <v>Distribution system assetsAugmentation</v>
      </c>
      <c r="K104" s="4">
        <v>110.65377351916409</v>
      </c>
      <c r="L104" s="4">
        <v>0</v>
      </c>
      <c r="M104" s="4">
        <v>0</v>
      </c>
      <c r="N104" s="4">
        <v>755.9350566202113</v>
      </c>
      <c r="O104" s="4">
        <v>1.6241289198606319</v>
      </c>
      <c r="P104" s="4">
        <v>868.21295905923603</v>
      </c>
    </row>
    <row r="105" spans="3:16" outlineLevel="1" x14ac:dyDescent="0.25">
      <c r="D105" t="s">
        <v>92</v>
      </c>
      <c r="E105" t="s">
        <v>28</v>
      </c>
      <c r="F105" t="str">
        <f t="shared" si="39"/>
        <v>Distribution system assetsReplacement</v>
      </c>
      <c r="K105" s="230">
        <v>0</v>
      </c>
      <c r="L105" s="230">
        <v>0</v>
      </c>
      <c r="M105" s="230">
        <v>0</v>
      </c>
      <c r="N105" s="230">
        <v>0</v>
      </c>
      <c r="O105" s="230">
        <v>0</v>
      </c>
      <c r="P105" s="230">
        <v>0</v>
      </c>
    </row>
    <row r="106" spans="3:16" outlineLevel="1" x14ac:dyDescent="0.25">
      <c r="K106" s="77">
        <v>110.65377351916409</v>
      </c>
      <c r="L106" s="77">
        <v>0</v>
      </c>
      <c r="M106" s="77">
        <v>0</v>
      </c>
      <c r="N106" s="77">
        <v>755.9350566202113</v>
      </c>
      <c r="O106" s="77">
        <v>1.6241289198606319</v>
      </c>
      <c r="P106" s="77">
        <v>868.21295905923603</v>
      </c>
    </row>
    <row r="107" spans="3:16" outlineLevel="1" x14ac:dyDescent="0.25">
      <c r="K107" s="235">
        <f t="shared" ref="K107:P107" si="45">K106-K73</f>
        <v>0</v>
      </c>
      <c r="L107" s="235">
        <f t="shared" si="45"/>
        <v>0</v>
      </c>
      <c r="M107" s="235">
        <f t="shared" si="45"/>
        <v>0</v>
      </c>
      <c r="N107" s="235">
        <f t="shared" si="45"/>
        <v>0</v>
      </c>
      <c r="O107" s="235">
        <f t="shared" si="45"/>
        <v>0</v>
      </c>
      <c r="P107" s="235">
        <f t="shared" si="45"/>
        <v>0</v>
      </c>
    </row>
  </sheetData>
  <mergeCells count="3">
    <mergeCell ref="G3:I3"/>
    <mergeCell ref="K3:P3"/>
    <mergeCell ref="R3:X3"/>
  </mergeCells>
  <pageMargins left="0.25" right="0.25" top="0.75" bottom="0.75" header="0.3" footer="0.3"/>
  <pageSetup paperSize="9" scale="72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O124"/>
  <sheetViews>
    <sheetView zoomScale="70" zoomScaleNormal="70" workbookViewId="0">
      <pane xSplit="3" ySplit="4" topLeftCell="D5" activePane="bottomRight" state="frozen"/>
      <selection activeCell="AL78" sqref="AL78"/>
      <selection pane="topRight" activeCell="AL78" sqref="AL78"/>
      <selection pane="bottomLeft" activeCell="AL78" sqref="AL78"/>
      <selection pane="bottomRight" activeCell="AI5" sqref="AI5"/>
    </sheetView>
  </sheetViews>
  <sheetFormatPr defaultRowHeight="15" outlineLevelRow="1" outlineLevelCol="1" x14ac:dyDescent="0.25"/>
  <cols>
    <col min="1" max="1" width="2.28515625" customWidth="1"/>
    <col min="2" max="2" width="3" customWidth="1"/>
    <col min="3" max="3" width="52" customWidth="1"/>
    <col min="4" max="4" width="20" customWidth="1" outlineLevel="1"/>
    <col min="5" max="6" width="15.28515625" customWidth="1" outlineLevel="1"/>
    <col min="7" max="7" width="9.28515625" customWidth="1"/>
    <col min="8" max="8" width="8.7109375" customWidth="1"/>
    <col min="9" max="9" width="10.7109375" customWidth="1"/>
    <col min="10" max="10" width="2.28515625" customWidth="1"/>
    <col min="11" max="11" width="9.7109375" bestFit="1" customWidth="1"/>
    <col min="12" max="12" width="9.5703125" bestFit="1" customWidth="1"/>
    <col min="13" max="13" width="9.42578125" style="108" customWidth="1"/>
    <col min="14" max="14" width="12.28515625" style="108" customWidth="1"/>
    <col min="15" max="15" width="10.42578125" style="108" customWidth="1"/>
    <col min="16" max="16" width="12.140625" style="108" customWidth="1"/>
    <col min="17" max="17" width="9.7109375" style="108" customWidth="1"/>
    <col min="18" max="18" width="9" style="108" customWidth="1" outlineLevel="1"/>
    <col min="19" max="19" width="9.7109375" style="108" customWidth="1" outlineLevel="1"/>
    <col min="20" max="22" width="9" style="108" customWidth="1" outlineLevel="1"/>
    <col min="23" max="23" width="8.85546875" style="108" customWidth="1" outlineLevel="1"/>
    <col min="24" max="35" width="8.85546875" customWidth="1" outlineLevel="1"/>
    <col min="36" max="36" width="8.85546875" customWidth="1"/>
    <col min="37" max="37" width="8.85546875" style="273"/>
  </cols>
  <sheetData>
    <row r="1" spans="2:33" x14ac:dyDescent="0.25">
      <c r="N1" s="452" t="s">
        <v>112</v>
      </c>
      <c r="O1"/>
    </row>
    <row r="2" spans="2:33" x14ac:dyDescent="0.25">
      <c r="B2" s="24"/>
    </row>
    <row r="3" spans="2:33" x14ac:dyDescent="0.25">
      <c r="B3" s="468" t="s">
        <v>405</v>
      </c>
      <c r="C3" s="468"/>
      <c r="G3" s="462" t="s">
        <v>21</v>
      </c>
      <c r="H3" s="463"/>
      <c r="I3" s="464"/>
      <c r="K3" s="462" t="s">
        <v>276</v>
      </c>
      <c r="L3" s="463"/>
      <c r="M3" s="463"/>
      <c r="N3" s="463"/>
      <c r="O3" s="463"/>
      <c r="P3" s="464"/>
      <c r="R3" s="462" t="s">
        <v>277</v>
      </c>
      <c r="S3" s="463"/>
      <c r="T3" s="463"/>
      <c r="U3" s="463"/>
      <c r="V3" s="463"/>
      <c r="W3" s="463"/>
      <c r="X3" s="464"/>
    </row>
    <row r="4" spans="2:33" ht="45" customHeight="1" x14ac:dyDescent="0.25">
      <c r="B4" s="469"/>
      <c r="C4" s="469"/>
      <c r="D4" t="s">
        <v>5</v>
      </c>
      <c r="E4" t="s">
        <v>20</v>
      </c>
      <c r="G4" s="109" t="s">
        <v>278</v>
      </c>
      <c r="H4" s="110" t="s">
        <v>279</v>
      </c>
      <c r="I4" s="111" t="s">
        <v>280</v>
      </c>
      <c r="K4" s="111" t="s">
        <v>21</v>
      </c>
      <c r="L4" s="111" t="s">
        <v>22</v>
      </c>
      <c r="M4" s="109" t="s">
        <v>23</v>
      </c>
      <c r="N4" s="109" t="s">
        <v>24</v>
      </c>
      <c r="O4" s="112" t="s">
        <v>25</v>
      </c>
      <c r="P4" s="112" t="s">
        <v>26</v>
      </c>
      <c r="Q4" s="113" t="s">
        <v>281</v>
      </c>
      <c r="R4" s="114" t="s">
        <v>282</v>
      </c>
      <c r="S4" s="114" t="s">
        <v>82</v>
      </c>
      <c r="T4" s="114" t="s">
        <v>83</v>
      </c>
      <c r="U4" s="114" t="s">
        <v>84</v>
      </c>
      <c r="V4" s="114" t="s">
        <v>283</v>
      </c>
      <c r="W4" s="114" t="s">
        <v>85</v>
      </c>
      <c r="X4" s="115" t="s">
        <v>284</v>
      </c>
      <c r="Y4" s="115" t="s">
        <v>285</v>
      </c>
    </row>
    <row r="5" spans="2:33" x14ac:dyDescent="0.25">
      <c r="B5" s="116" t="s">
        <v>286</v>
      </c>
      <c r="C5" s="117"/>
      <c r="D5" s="117"/>
      <c r="E5" s="117"/>
      <c r="F5" s="117"/>
      <c r="G5" s="118"/>
      <c r="H5" s="110"/>
      <c r="I5" s="111"/>
      <c r="J5" s="117"/>
      <c r="K5" s="111"/>
      <c r="L5" s="111"/>
      <c r="M5" s="112"/>
      <c r="N5" s="109"/>
      <c r="O5" s="112"/>
      <c r="P5" s="112"/>
      <c r="R5" s="119">
        <f>Lab_Rates!$C$6*Escalators!C7*(1+Escalators!C17)*Escalators!$G$32</f>
        <v>162.48739067582716</v>
      </c>
      <c r="S5" s="119">
        <f>Lab_Rates!$C$7*Escalators!C7*(1+Escalators!C17)*Escalators!$G$32</f>
        <v>151.79743076294375</v>
      </c>
      <c r="T5" s="119">
        <f>Lab_Rates!$C$8*Escalators!C7*(1+Escalators!C17)*Escalators!$G$32</f>
        <v>176.38433856257552</v>
      </c>
      <c r="U5" s="119">
        <f>Lab_Rates!$C$9*Escalators!C7*(1+Escalators!C17)*Escalators!$G$32</f>
        <v>229.83413812699234</v>
      </c>
      <c r="V5" s="119">
        <f>Lab_Rates!$C$6*Escalators!C7*(1+Escalators!C17)*Escalators!$G$32</f>
        <v>162.48739067582716</v>
      </c>
      <c r="W5" s="119">
        <f>Lab_Rates!$C$10*Escalators!C7*(1+Escalators!C17)*Escalators!$G$32</f>
        <v>162.48739067582716</v>
      </c>
      <c r="X5" s="119">
        <f>Lab_Rates!$C$5*Escalators!C7*(1+Escalators!C17)*Escalators!$G$32</f>
        <v>133.62449891104205</v>
      </c>
    </row>
    <row r="6" spans="2:33" x14ac:dyDescent="0.25">
      <c r="B6" s="120"/>
      <c r="G6" s="121"/>
      <c r="H6" s="122"/>
      <c r="I6" s="123"/>
      <c r="K6" s="121"/>
      <c r="L6" s="121"/>
      <c r="M6" s="124"/>
      <c r="N6" s="125"/>
      <c r="O6" s="124"/>
      <c r="P6" s="126"/>
      <c r="R6" s="127"/>
      <c r="S6" s="127"/>
      <c r="T6" s="127"/>
      <c r="U6" s="127"/>
      <c r="V6" s="127"/>
      <c r="W6" s="127"/>
      <c r="X6" s="127"/>
    </row>
    <row r="7" spans="2:33" x14ac:dyDescent="0.25">
      <c r="B7" s="84" t="s">
        <v>287</v>
      </c>
      <c r="D7" t="s">
        <v>1</v>
      </c>
      <c r="E7" t="s">
        <v>1</v>
      </c>
      <c r="G7" s="128"/>
      <c r="H7" s="129"/>
      <c r="I7" s="130"/>
      <c r="K7" s="131"/>
      <c r="L7" s="121">
        <f>SUMPRODUCT(R$5:X$5,R7:X7)/Thousands</f>
        <v>0</v>
      </c>
      <c r="M7" s="132">
        <f>Q7*Q62</f>
        <v>0</v>
      </c>
      <c r="N7" s="132"/>
      <c r="O7" s="128"/>
      <c r="P7" s="293">
        <f t="shared" ref="P7" si="0">SUM(K7:O7)</f>
        <v>0</v>
      </c>
      <c r="Q7" s="277">
        <v>0.18</v>
      </c>
      <c r="R7" s="134"/>
      <c r="S7" s="135"/>
      <c r="T7" s="135"/>
      <c r="U7" s="135"/>
      <c r="V7" s="135"/>
      <c r="W7" s="135"/>
      <c r="X7" s="135"/>
    </row>
    <row r="8" spans="2:33" x14ac:dyDescent="0.25">
      <c r="B8" s="136"/>
      <c r="C8" s="46"/>
      <c r="D8" s="46"/>
      <c r="E8" s="46"/>
      <c r="F8" s="46"/>
      <c r="G8" s="137"/>
      <c r="H8" s="138"/>
      <c r="I8" s="139"/>
      <c r="K8" s="140"/>
      <c r="L8" s="140"/>
      <c r="M8" s="137"/>
      <c r="N8" s="141"/>
      <c r="O8" s="141"/>
      <c r="P8" s="142"/>
      <c r="Q8" s="133"/>
      <c r="R8" s="127"/>
      <c r="S8" s="127"/>
      <c r="T8" s="127"/>
      <c r="U8" s="127"/>
      <c r="V8" s="127"/>
      <c r="W8" s="127"/>
      <c r="X8" s="127"/>
    </row>
    <row r="9" spans="2:33" x14ac:dyDescent="0.25">
      <c r="B9" s="143" t="s">
        <v>288</v>
      </c>
      <c r="C9" s="117"/>
      <c r="D9" s="117"/>
      <c r="E9" s="117"/>
      <c r="F9" s="117"/>
      <c r="G9" s="144"/>
      <c r="H9" s="110"/>
      <c r="I9" s="111"/>
      <c r="K9" s="145"/>
      <c r="L9" s="145"/>
      <c r="M9" s="144"/>
      <c r="N9" s="146"/>
      <c r="O9" s="146"/>
      <c r="P9" s="147"/>
      <c r="R9" s="127"/>
      <c r="S9" s="127"/>
      <c r="T9" s="127"/>
      <c r="U9" s="127"/>
      <c r="V9" s="127"/>
      <c r="W9" s="127"/>
      <c r="X9" s="127"/>
    </row>
    <row r="10" spans="2:33" x14ac:dyDescent="0.25">
      <c r="B10" s="84"/>
      <c r="C10" t="s">
        <v>289</v>
      </c>
      <c r="D10" t="s">
        <v>1</v>
      </c>
      <c r="E10" t="s">
        <v>1</v>
      </c>
      <c r="G10" s="128"/>
      <c r="H10" s="129"/>
      <c r="I10" s="130"/>
      <c r="K10" s="148"/>
      <c r="L10" s="149"/>
      <c r="M10" s="150"/>
      <c r="N10" s="150">
        <v>0</v>
      </c>
      <c r="O10" s="151"/>
      <c r="P10" s="126">
        <f>SUM(K10:O10)</f>
        <v>0</v>
      </c>
      <c r="Q10" s="152"/>
      <c r="R10" s="134"/>
      <c r="S10" s="134"/>
      <c r="T10" s="134"/>
      <c r="U10" s="134"/>
      <c r="V10" s="134"/>
      <c r="W10" s="134"/>
      <c r="X10" s="134"/>
      <c r="Y10" s="77">
        <f>SUM(R10:X10)</f>
        <v>0</v>
      </c>
      <c r="AA10" s="6"/>
      <c r="AB10" s="6"/>
      <c r="AC10" s="6"/>
      <c r="AD10" s="6"/>
      <c r="AE10" s="6"/>
      <c r="AF10" s="6"/>
      <c r="AG10" s="6"/>
    </row>
    <row r="11" spans="2:33" x14ac:dyDescent="0.25">
      <c r="B11" s="84"/>
      <c r="C11" t="s">
        <v>290</v>
      </c>
      <c r="D11" t="s">
        <v>1</v>
      </c>
      <c r="E11" t="s">
        <v>1</v>
      </c>
      <c r="G11" s="128"/>
      <c r="H11" s="129"/>
      <c r="I11" s="130"/>
      <c r="K11" s="148"/>
      <c r="L11" s="149">
        <f>Q11*$Q$62</f>
        <v>0</v>
      </c>
      <c r="M11" s="150"/>
      <c r="N11" s="132">
        <v>0</v>
      </c>
      <c r="O11" s="151"/>
      <c r="P11" s="293">
        <f>SUM(K11:O11)</f>
        <v>0</v>
      </c>
      <c r="Q11" s="133">
        <v>0.13</v>
      </c>
      <c r="R11" s="134"/>
      <c r="S11" s="134"/>
      <c r="T11" s="134"/>
      <c r="U11" s="134"/>
      <c r="V11" s="134"/>
      <c r="W11" s="134"/>
      <c r="X11" s="134"/>
      <c r="Y11" s="77">
        <f t="shared" ref="Y11:Y13" si="1">SUM(R11:X11)</f>
        <v>0</v>
      </c>
      <c r="AA11" s="6"/>
      <c r="AB11" s="6"/>
      <c r="AC11" s="6"/>
      <c r="AD11" s="6"/>
      <c r="AE11" s="6"/>
      <c r="AF11" s="6"/>
      <c r="AG11" s="6"/>
    </row>
    <row r="12" spans="2:33" x14ac:dyDescent="0.25">
      <c r="B12" s="84"/>
      <c r="C12" t="s">
        <v>291</v>
      </c>
      <c r="D12" t="s">
        <v>1</v>
      </c>
      <c r="E12" t="s">
        <v>1</v>
      </c>
      <c r="G12" s="128"/>
      <c r="H12" s="129"/>
      <c r="I12" s="130"/>
      <c r="K12" s="148"/>
      <c r="L12" s="149"/>
      <c r="M12" s="150"/>
      <c r="N12" s="150">
        <v>0</v>
      </c>
      <c r="O12" s="151"/>
      <c r="P12" s="126">
        <f>SUM(K12:O12)</f>
        <v>0</v>
      </c>
      <c r="Q12" s="152"/>
      <c r="R12" s="134"/>
      <c r="S12" s="134"/>
      <c r="T12" s="134"/>
      <c r="U12" s="134"/>
      <c r="V12" s="134"/>
      <c r="W12" s="134"/>
      <c r="X12" s="134"/>
      <c r="Y12" s="77">
        <f t="shared" si="1"/>
        <v>0</v>
      </c>
      <c r="AA12" s="6"/>
      <c r="AB12" s="6"/>
      <c r="AC12" s="6"/>
      <c r="AD12" s="6"/>
      <c r="AE12" s="6"/>
      <c r="AF12" s="6"/>
      <c r="AG12" s="6"/>
    </row>
    <row r="13" spans="2:33" x14ac:dyDescent="0.25">
      <c r="B13" s="84"/>
      <c r="C13" t="s">
        <v>292</v>
      </c>
      <c r="D13" t="s">
        <v>1</v>
      </c>
      <c r="E13" t="s">
        <v>1</v>
      </c>
      <c r="G13" s="128"/>
      <c r="H13" s="129"/>
      <c r="I13" s="130"/>
      <c r="K13" s="148"/>
      <c r="L13" s="149"/>
      <c r="M13" s="150"/>
      <c r="N13" s="150">
        <v>0</v>
      </c>
      <c r="O13" s="151"/>
      <c r="P13" s="126">
        <f>SUM(K13:O13)</f>
        <v>0</v>
      </c>
      <c r="Q13" s="133"/>
      <c r="R13" s="134"/>
      <c r="S13" s="134"/>
      <c r="T13" s="134"/>
      <c r="U13" s="134"/>
      <c r="V13" s="134"/>
      <c r="W13" s="134"/>
      <c r="X13" s="134"/>
      <c r="Y13" s="77">
        <f t="shared" si="1"/>
        <v>0</v>
      </c>
      <c r="AA13" s="6"/>
      <c r="AB13" s="6"/>
      <c r="AC13" s="6"/>
      <c r="AD13" s="6"/>
      <c r="AE13" s="6"/>
      <c r="AF13" s="6"/>
      <c r="AG13" s="6"/>
    </row>
    <row r="14" spans="2:33" x14ac:dyDescent="0.25">
      <c r="B14" s="136"/>
      <c r="C14" s="46"/>
      <c r="D14" s="46"/>
      <c r="E14" s="46"/>
      <c r="F14" s="46"/>
      <c r="G14" s="140"/>
      <c r="H14" s="138"/>
      <c r="I14" s="139"/>
      <c r="K14" s="154"/>
      <c r="L14" s="155"/>
      <c r="M14" s="155"/>
      <c r="N14" s="156"/>
      <c r="O14" s="155"/>
      <c r="P14" s="157"/>
      <c r="R14" s="127"/>
      <c r="S14" s="127"/>
      <c r="T14" s="127"/>
      <c r="U14" s="127"/>
      <c r="V14" s="127"/>
      <c r="W14" s="127"/>
      <c r="X14" s="127"/>
    </row>
    <row r="15" spans="2:33" x14ac:dyDescent="0.25">
      <c r="B15" s="143" t="s">
        <v>293</v>
      </c>
      <c r="C15" s="117"/>
      <c r="D15" s="117"/>
      <c r="E15" s="117"/>
      <c r="F15" s="117"/>
      <c r="G15" s="158"/>
      <c r="H15" s="116"/>
      <c r="I15" s="159"/>
      <c r="K15" s="160"/>
      <c r="L15" s="160"/>
      <c r="M15" s="161"/>
      <c r="N15" s="161"/>
      <c r="O15" s="161"/>
      <c r="P15" s="162"/>
      <c r="Q15" s="163"/>
      <c r="R15" s="164"/>
      <c r="S15" s="127"/>
      <c r="T15" s="127"/>
      <c r="U15" s="127"/>
      <c r="V15" s="127"/>
      <c r="W15" s="127"/>
      <c r="X15" s="127"/>
      <c r="AA15" s="5"/>
      <c r="AB15" s="5"/>
      <c r="AC15" s="5"/>
      <c r="AD15" s="5"/>
      <c r="AE15" s="5"/>
      <c r="AF15" s="5"/>
      <c r="AG15" s="5"/>
    </row>
    <row r="16" spans="2:33" x14ac:dyDescent="0.25">
      <c r="B16" s="120" t="s">
        <v>114</v>
      </c>
      <c r="G16" s="166"/>
      <c r="H16" s="84"/>
      <c r="I16" s="167"/>
      <c r="J16" s="165"/>
      <c r="K16" s="149"/>
      <c r="L16" s="149"/>
      <c r="M16" s="168"/>
      <c r="N16" s="168"/>
      <c r="O16" s="168"/>
      <c r="P16" s="169"/>
      <c r="R16" s="127"/>
      <c r="S16" s="127"/>
      <c r="T16" s="127"/>
      <c r="U16" s="127"/>
      <c r="V16" s="127"/>
      <c r="W16" s="127"/>
      <c r="X16" s="127"/>
      <c r="AA16" s="5"/>
      <c r="AB16" s="5"/>
      <c r="AC16" s="5"/>
      <c r="AD16" s="5"/>
      <c r="AE16" s="5"/>
      <c r="AF16" s="5"/>
      <c r="AG16" s="5"/>
    </row>
    <row r="17" spans="2:41" x14ac:dyDescent="0.25">
      <c r="B17" s="84"/>
      <c r="C17" t="s">
        <v>122</v>
      </c>
      <c r="D17" t="str">
        <f>INDEX(Unit_Rates!$C$7:$K$113,MATCH($C17,Unit_Rates!$C$7:$C$113,0),5)</f>
        <v>Subtransmission</v>
      </c>
      <c r="E17" t="str">
        <f>INDEX(Unit_Rates!$C$7:$K$113,MATCH($C17,Unit_Rates!$C$7:$C$113,0),6)</f>
        <v>Augmentation</v>
      </c>
      <c r="F17" t="str">
        <f>D17&amp;E17</f>
        <v>SubtransmissionAugmentation</v>
      </c>
      <c r="G17" s="170">
        <f>INDEX(Unit_Rates!$C$7:$K$113,MATCH($C17,Unit_Rates!$C$7:$C$113,0),7)</f>
        <v>72.618999999999986</v>
      </c>
      <c r="H17" s="171"/>
      <c r="I17" s="123" t="s">
        <v>294</v>
      </c>
      <c r="J17" s="165"/>
      <c r="K17" s="172">
        <f>G17*$H17</f>
        <v>0</v>
      </c>
      <c r="L17" s="173">
        <f t="shared" ref="L17:L45" si="2">SUMPRODUCT(R$5:X$5,R17:X17)/Thousands</f>
        <v>0</v>
      </c>
      <c r="M17" s="174"/>
      <c r="N17" s="448"/>
      <c r="O17" s="448"/>
      <c r="P17" s="449"/>
      <c r="Q17" s="152">
        <f>P17-H17*VLOOKUP(C17,Unit_Rates!$C$7:$E$51,3,FALSE)</f>
        <v>0</v>
      </c>
      <c r="R17" s="134">
        <v>0</v>
      </c>
      <c r="S17" s="134">
        <v>0</v>
      </c>
      <c r="T17" s="134">
        <v>0</v>
      </c>
      <c r="U17" s="134">
        <v>0</v>
      </c>
      <c r="V17" s="134">
        <v>0</v>
      </c>
      <c r="W17" s="134">
        <v>0</v>
      </c>
      <c r="X17" s="134">
        <v>0</v>
      </c>
      <c r="Y17" s="77">
        <f t="shared" ref="Y17:Y44" si="3">SUM(R17:X17)</f>
        <v>0</v>
      </c>
      <c r="AA17" s="5"/>
      <c r="AB17" s="5"/>
      <c r="AC17" s="5"/>
      <c r="AD17" s="5"/>
      <c r="AE17" s="5"/>
      <c r="AF17" s="5"/>
      <c r="AG17" s="5"/>
    </row>
    <row r="18" spans="2:41" x14ac:dyDescent="0.25">
      <c r="B18" s="84"/>
      <c r="C18" t="s">
        <v>124</v>
      </c>
      <c r="D18" t="str">
        <f>INDEX(Unit_Rates!$C$7:$K$113,MATCH($C18,Unit_Rates!$C$7:$C$113,0),5)</f>
        <v>Subtransmission</v>
      </c>
      <c r="E18" t="str">
        <f>INDEX(Unit_Rates!$C$7:$K$113,MATCH($C18,Unit_Rates!$C$7:$C$113,0),6)</f>
        <v>Augmentation</v>
      </c>
      <c r="F18" t="str">
        <f t="shared" ref="F18:F45" si="4">D18&amp;E18</f>
        <v>SubtransmissionAugmentation</v>
      </c>
      <c r="G18" s="170">
        <f>INDEX(Unit_Rates!$C$7:$K$113,MATCH($C18,Unit_Rates!$C$7:$C$113,0),7)</f>
        <v>112.82799999999997</v>
      </c>
      <c r="H18" s="171"/>
      <c r="I18" s="123" t="s">
        <v>294</v>
      </c>
      <c r="J18" s="165"/>
      <c r="K18" s="172">
        <f>G18*$H18</f>
        <v>0</v>
      </c>
      <c r="L18" s="173">
        <f t="shared" si="2"/>
        <v>0</v>
      </c>
      <c r="M18" s="174"/>
      <c r="N18" s="448"/>
      <c r="O18" s="448"/>
      <c r="P18" s="449"/>
      <c r="Q18" s="152">
        <f>P18-H18*VLOOKUP(C18,Unit_Rates!$C$7:$E$51,3,FALSE)</f>
        <v>0</v>
      </c>
      <c r="R18" s="134">
        <v>0</v>
      </c>
      <c r="S18" s="134">
        <v>0</v>
      </c>
      <c r="T18" s="134">
        <v>0</v>
      </c>
      <c r="U18" s="134">
        <v>0</v>
      </c>
      <c r="V18" s="134">
        <v>0</v>
      </c>
      <c r="W18" s="134">
        <v>0</v>
      </c>
      <c r="X18" s="134">
        <v>0</v>
      </c>
      <c r="Y18" s="77">
        <f t="shared" si="3"/>
        <v>0</v>
      </c>
      <c r="AA18" s="5"/>
      <c r="AB18" s="5"/>
      <c r="AC18" s="5"/>
      <c r="AD18" s="5"/>
      <c r="AE18" s="5"/>
      <c r="AF18" s="5"/>
      <c r="AG18" s="5"/>
    </row>
    <row r="19" spans="2:41" x14ac:dyDescent="0.25">
      <c r="B19" s="84"/>
      <c r="C19" t="s">
        <v>126</v>
      </c>
      <c r="D19" t="str">
        <f>INDEX(Unit_Rates!$C$7:$K$113,MATCH($C19,Unit_Rates!$C$7:$C$113,0),5)</f>
        <v>Subtransmission</v>
      </c>
      <c r="E19" t="str">
        <f>INDEX(Unit_Rates!$C$7:$K$113,MATCH($C19,Unit_Rates!$C$7:$C$113,0),6)</f>
        <v>Augmentation</v>
      </c>
      <c r="F19" t="str">
        <f t="shared" si="4"/>
        <v>SubtransmissionAugmentation</v>
      </c>
      <c r="G19" s="170">
        <f>INDEX(Unit_Rates!$C$7:$K$113,MATCH($C19,Unit_Rates!$C$7:$C$113,0),7)</f>
        <v>465.00233333333324</v>
      </c>
      <c r="H19" s="171"/>
      <c r="I19" s="123" t="s">
        <v>294</v>
      </c>
      <c r="J19" s="165"/>
      <c r="K19" s="172">
        <f>G19*$H19</f>
        <v>0</v>
      </c>
      <c r="L19" s="173">
        <f t="shared" si="2"/>
        <v>0</v>
      </c>
      <c r="M19" s="174"/>
      <c r="N19" s="448"/>
      <c r="O19" s="448"/>
      <c r="P19" s="449"/>
      <c r="Q19" s="152">
        <f>P19-H19*VLOOKUP(C19,Unit_Rates!$C$7:$E$51,3,FALSE)</f>
        <v>0</v>
      </c>
      <c r="R19" s="134">
        <v>0</v>
      </c>
      <c r="S19" s="134">
        <v>0</v>
      </c>
      <c r="T19" s="134">
        <v>0</v>
      </c>
      <c r="U19" s="134">
        <v>0</v>
      </c>
      <c r="V19" s="134">
        <v>0</v>
      </c>
      <c r="W19" s="134">
        <v>0</v>
      </c>
      <c r="X19" s="134">
        <v>0</v>
      </c>
      <c r="Y19" s="77">
        <f t="shared" si="3"/>
        <v>0</v>
      </c>
    </row>
    <row r="20" spans="2:41" x14ac:dyDescent="0.25">
      <c r="B20" s="84"/>
      <c r="C20" t="s">
        <v>128</v>
      </c>
      <c r="D20" t="str">
        <f>D18</f>
        <v>Subtransmission</v>
      </c>
      <c r="E20" t="str">
        <f>E18</f>
        <v>Augmentation</v>
      </c>
      <c r="F20" t="str">
        <f t="shared" si="4"/>
        <v>SubtransmissionAugmentation</v>
      </c>
      <c r="G20" s="170">
        <f>INDEX(Unit_Rates!$C$7:$K$113,MATCH($C20,Unit_Rates!$C$7:$C$113,0),7)</f>
        <v>39.294999999999995</v>
      </c>
      <c r="H20" s="171"/>
      <c r="I20" s="175" t="s">
        <v>294</v>
      </c>
      <c r="J20" s="176"/>
      <c r="K20" s="177">
        <f>G20*$H20</f>
        <v>0</v>
      </c>
      <c r="L20" s="177">
        <f t="shared" si="2"/>
        <v>0</v>
      </c>
      <c r="M20" s="178"/>
      <c r="N20" s="448"/>
      <c r="O20" s="448"/>
      <c r="P20" s="450"/>
      <c r="Q20" s="152">
        <f>P20-H20*VLOOKUP(C20,Unit_Rates!$C$7:$E$51,3,FALSE)</f>
        <v>0</v>
      </c>
      <c r="R20" s="134">
        <v>0</v>
      </c>
      <c r="S20" s="134">
        <v>0</v>
      </c>
      <c r="T20" s="134">
        <v>0</v>
      </c>
      <c r="U20" s="134">
        <v>0</v>
      </c>
      <c r="V20" s="134">
        <v>0</v>
      </c>
      <c r="W20" s="134">
        <v>0</v>
      </c>
      <c r="X20" s="134">
        <v>0</v>
      </c>
      <c r="Y20" s="77">
        <f t="shared" si="3"/>
        <v>0</v>
      </c>
      <c r="AA20" s="5"/>
      <c r="AB20" s="5"/>
      <c r="AC20" s="5"/>
      <c r="AD20" s="5"/>
      <c r="AE20" s="5"/>
      <c r="AF20" s="5"/>
      <c r="AG20" s="5"/>
    </row>
    <row r="21" spans="2:41" x14ac:dyDescent="0.25">
      <c r="B21" s="84"/>
      <c r="C21" t="s">
        <v>130</v>
      </c>
      <c r="D21" t="str">
        <f>INDEX(Unit_Rates!$C$7:$K$113,MATCH($C21,Unit_Rates!$C$7:$C$113,0),5)</f>
        <v>Subtransmission</v>
      </c>
      <c r="E21" t="str">
        <f>INDEX(Unit_Rates!$C$7:$K$113,MATCH($C21,Unit_Rates!$C$7:$C$113,0),6)</f>
        <v>Augmentation</v>
      </c>
      <c r="F21" t="str">
        <f t="shared" si="4"/>
        <v>SubtransmissionAugmentation</v>
      </c>
      <c r="G21" s="170">
        <f>INDEX(Unit_Rates!$C$7:$K$113,MATCH($C21,Unit_Rates!$C$7:$C$113,0),7)</f>
        <v>42.974999999999994</v>
      </c>
      <c r="H21" s="171">
        <v>1</v>
      </c>
      <c r="I21" s="123" t="s">
        <v>294</v>
      </c>
      <c r="J21" s="165"/>
      <c r="K21" s="172">
        <f>G21*H21</f>
        <v>42.974999999999994</v>
      </c>
      <c r="L21" s="173">
        <f t="shared" si="2"/>
        <v>0</v>
      </c>
      <c r="M21" s="174"/>
      <c r="N21" s="448"/>
      <c r="O21" s="448"/>
      <c r="P21" s="449"/>
      <c r="Q21" s="152">
        <f>P21-H21*VLOOKUP(C21,Unit_Rates!$C$7:$E$51,3,FALSE)</f>
        <v>0</v>
      </c>
      <c r="R21" s="134">
        <v>0</v>
      </c>
      <c r="S21" s="134">
        <v>0</v>
      </c>
      <c r="T21" s="134">
        <v>0</v>
      </c>
      <c r="U21" s="134">
        <v>0</v>
      </c>
      <c r="V21" s="134">
        <v>0</v>
      </c>
      <c r="W21" s="134">
        <v>0</v>
      </c>
      <c r="X21" s="134">
        <v>0</v>
      </c>
      <c r="Y21" s="77">
        <f t="shared" si="3"/>
        <v>0</v>
      </c>
      <c r="AA21" s="5"/>
      <c r="AB21" s="5"/>
      <c r="AC21" s="5"/>
      <c r="AD21" s="5"/>
      <c r="AE21" s="5"/>
      <c r="AF21" s="5"/>
      <c r="AG21" s="5"/>
    </row>
    <row r="22" spans="2:41" x14ac:dyDescent="0.25">
      <c r="B22" s="84"/>
      <c r="C22" t="s">
        <v>132</v>
      </c>
      <c r="D22" t="str">
        <f>INDEX(Unit_Rates!$C$7:$K$113,MATCH($C22,Unit_Rates!$C$7:$C$113,0),5)</f>
        <v>Subtransmission</v>
      </c>
      <c r="E22" t="str">
        <f>INDEX(Unit_Rates!$C$7:$K$113,MATCH($C22,Unit_Rates!$C$7:$C$113,0),6)</f>
        <v>Augmentation</v>
      </c>
      <c r="F22" t="str">
        <f t="shared" si="4"/>
        <v>SubtransmissionAugmentation</v>
      </c>
      <c r="G22" s="170">
        <f>INDEX(Unit_Rates!$C$7:$K$113,MATCH($C22,Unit_Rates!$C$7:$C$113,0),7)</f>
        <v>0</v>
      </c>
      <c r="H22" s="171">
        <v>1</v>
      </c>
      <c r="I22" s="123" t="s">
        <v>294</v>
      </c>
      <c r="J22" s="165"/>
      <c r="K22" s="172">
        <f>G22*H22</f>
        <v>0</v>
      </c>
      <c r="L22" s="173">
        <f t="shared" si="2"/>
        <v>0</v>
      </c>
      <c r="M22" s="174"/>
      <c r="N22" s="448"/>
      <c r="O22" s="448"/>
      <c r="P22" s="449"/>
      <c r="Q22" s="152">
        <f>P22-H22*VLOOKUP(C22,Unit_Rates!$C$7:$E$51,3,FALSE)</f>
        <v>0</v>
      </c>
      <c r="R22" s="134">
        <v>0</v>
      </c>
      <c r="S22" s="134">
        <v>0</v>
      </c>
      <c r="T22" s="134">
        <v>0</v>
      </c>
      <c r="U22" s="134">
        <v>0</v>
      </c>
      <c r="V22" s="134">
        <v>0</v>
      </c>
      <c r="W22" s="134">
        <v>0</v>
      </c>
      <c r="X22" s="134">
        <v>0</v>
      </c>
      <c r="Y22" s="77">
        <f t="shared" si="3"/>
        <v>0</v>
      </c>
      <c r="AA22" s="5"/>
      <c r="AB22" s="5"/>
      <c r="AC22" s="5"/>
      <c r="AD22" s="5"/>
      <c r="AE22" s="5"/>
      <c r="AF22" s="5"/>
      <c r="AG22" s="5"/>
    </row>
    <row r="23" spans="2:41" x14ac:dyDescent="0.25">
      <c r="B23" s="84"/>
      <c r="C23" t="s">
        <v>133</v>
      </c>
      <c r="D23" t="str">
        <f>INDEX(Unit_Rates!$C$7:$K$113,MATCH($C23,Unit_Rates!$C$7:$C$113,0),5)</f>
        <v>SCADA/Network control</v>
      </c>
      <c r="E23" t="str">
        <f>INDEX(Unit_Rates!$C$7:$K$113,MATCH($C23,Unit_Rates!$C$7:$C$113,0),6)</f>
        <v>Augmentation</v>
      </c>
      <c r="F23" t="str">
        <f t="shared" si="4"/>
        <v>SCADA/Network controlAugmentation</v>
      </c>
      <c r="G23" s="170">
        <f>INDEX(Unit_Rates!$C$7:$K$113,MATCH($C23,Unit_Rates!$C$7:$C$113,0),7)</f>
        <v>1158.2999999999995</v>
      </c>
      <c r="H23" s="171">
        <v>1</v>
      </c>
      <c r="I23" s="123" t="s">
        <v>294</v>
      </c>
      <c r="J23" s="165"/>
      <c r="K23" s="172">
        <f>G23*H23</f>
        <v>1158.2999999999995</v>
      </c>
      <c r="L23" s="173">
        <f t="shared" si="2"/>
        <v>0</v>
      </c>
      <c r="M23" s="174"/>
      <c r="N23" s="448"/>
      <c r="O23" s="448"/>
      <c r="P23" s="449"/>
      <c r="Q23" s="152">
        <f>P23-H23*VLOOKUP(C23,Unit_Rates!$C$7:$E$51,3,FALSE)</f>
        <v>0</v>
      </c>
      <c r="R23" s="134">
        <v>0</v>
      </c>
      <c r="S23" s="134">
        <v>0</v>
      </c>
      <c r="T23" s="134">
        <v>0</v>
      </c>
      <c r="U23" s="134">
        <v>0</v>
      </c>
      <c r="V23" s="134">
        <v>0</v>
      </c>
      <c r="W23" s="134">
        <v>0</v>
      </c>
      <c r="X23" s="134">
        <v>0</v>
      </c>
      <c r="Y23" s="77">
        <f t="shared" si="3"/>
        <v>0</v>
      </c>
      <c r="AA23" s="5"/>
      <c r="AB23" s="5"/>
      <c r="AC23" s="5"/>
      <c r="AD23" s="5"/>
      <c r="AE23" s="5"/>
      <c r="AF23" s="5"/>
      <c r="AG23" s="5"/>
    </row>
    <row r="24" spans="2:41" x14ac:dyDescent="0.25">
      <c r="B24" s="84"/>
      <c r="C24" t="s">
        <v>135</v>
      </c>
      <c r="D24" t="str">
        <f>INDEX(Unit_Rates!$C$7:$K$113,MATCH($C24,Unit_Rates!$C$7:$C$113,0),5)</f>
        <v>Subtransmission</v>
      </c>
      <c r="E24" t="str">
        <f>INDEX(Unit_Rates!$C$7:$K$113,MATCH($C24,Unit_Rates!$C$7:$C$113,0),6)</f>
        <v>Augmentation</v>
      </c>
      <c r="F24" t="str">
        <f t="shared" si="4"/>
        <v>SubtransmissionAugmentation</v>
      </c>
      <c r="G24" s="170">
        <f>INDEX(Unit_Rates!$C$7:$K$113,MATCH($C24,Unit_Rates!$C$7:$C$113,0),7)</f>
        <v>0</v>
      </c>
      <c r="H24" s="171">
        <v>1</v>
      </c>
      <c r="I24" s="123" t="s">
        <v>294</v>
      </c>
      <c r="J24" s="165"/>
      <c r="K24" s="172">
        <f>G24*H24</f>
        <v>0</v>
      </c>
      <c r="L24" s="173">
        <f t="shared" si="2"/>
        <v>0</v>
      </c>
      <c r="M24" s="174"/>
      <c r="N24" s="448"/>
      <c r="O24" s="448"/>
      <c r="P24" s="449"/>
      <c r="Q24" s="152">
        <f>P24-H24*VLOOKUP(C24,Unit_Rates!$C$7:$E$51,3,FALSE)</f>
        <v>0</v>
      </c>
      <c r="R24" s="134">
        <v>0</v>
      </c>
      <c r="S24" s="134">
        <v>0</v>
      </c>
      <c r="T24" s="134">
        <v>0</v>
      </c>
      <c r="U24" s="134">
        <v>0</v>
      </c>
      <c r="V24" s="134">
        <v>0</v>
      </c>
      <c r="W24" s="134">
        <v>0</v>
      </c>
      <c r="X24" s="134">
        <v>0</v>
      </c>
      <c r="Y24" s="77">
        <f t="shared" si="3"/>
        <v>0</v>
      </c>
    </row>
    <row r="25" spans="2:41" x14ac:dyDescent="0.25">
      <c r="B25" s="84"/>
      <c r="C25" t="s">
        <v>137</v>
      </c>
      <c r="D25" t="str">
        <f>INDEX(Unit_Rates!$C$7:$K$113,MATCH($C25,Unit_Rates!$C$7:$C$113,0),5)</f>
        <v>Subtransmission</v>
      </c>
      <c r="E25" t="str">
        <f>INDEX(Unit_Rates!$C$7:$K$113,MATCH($C25,Unit_Rates!$C$7:$C$113,0),6)</f>
        <v>Augmentation</v>
      </c>
      <c r="F25" t="str">
        <f t="shared" si="4"/>
        <v>SubtransmissionAugmentation</v>
      </c>
      <c r="G25" s="170">
        <f>INDEX(Unit_Rates!$C$7:$K$113,MATCH($C25,Unit_Rates!$C$7:$C$113,0),7)</f>
        <v>1353.9999999999995</v>
      </c>
      <c r="H25" s="171"/>
      <c r="I25" s="123" t="s">
        <v>294</v>
      </c>
      <c r="J25" s="165"/>
      <c r="K25" s="172">
        <f t="shared" ref="K25:K44" si="5">G25*H25</f>
        <v>0</v>
      </c>
      <c r="L25" s="173">
        <f t="shared" si="2"/>
        <v>0</v>
      </c>
      <c r="M25" s="174"/>
      <c r="N25" s="448"/>
      <c r="O25" s="448"/>
      <c r="P25" s="449"/>
      <c r="Q25" s="152">
        <f>P25-H25*VLOOKUP(C25,Unit_Rates!$C$7:$E$51,3,FALSE)</f>
        <v>0</v>
      </c>
      <c r="R25" s="134">
        <v>0</v>
      </c>
      <c r="S25" s="134">
        <v>0</v>
      </c>
      <c r="T25" s="134">
        <v>0</v>
      </c>
      <c r="U25" s="134">
        <v>0</v>
      </c>
      <c r="V25" s="134">
        <v>0</v>
      </c>
      <c r="W25" s="134">
        <v>0</v>
      </c>
      <c r="X25" s="134">
        <v>0</v>
      </c>
      <c r="Y25" s="77">
        <f t="shared" si="3"/>
        <v>0</v>
      </c>
    </row>
    <row r="26" spans="2:41" x14ac:dyDescent="0.25">
      <c r="B26" s="84"/>
      <c r="C26" t="s">
        <v>139</v>
      </c>
      <c r="D26" t="str">
        <f>INDEX(Unit_Rates!$C$7:$K$113,MATCH($C26,Unit_Rates!$C$7:$C$113,0),5)</f>
        <v>Subtransmission</v>
      </c>
      <c r="E26" t="str">
        <f>INDEX(Unit_Rates!$C$7:$K$113,MATCH($C26,Unit_Rates!$C$7:$C$113,0),6)</f>
        <v>Augmentation</v>
      </c>
      <c r="F26" t="str">
        <f t="shared" si="4"/>
        <v>SubtransmissionAugmentation</v>
      </c>
      <c r="G26" s="170">
        <f>INDEX(Unit_Rates!$C$7:$K$113,MATCH($C26,Unit_Rates!$C$7:$C$113,0),7)</f>
        <v>1461.1162790697672</v>
      </c>
      <c r="H26" s="171"/>
      <c r="I26" s="123" t="s">
        <v>294</v>
      </c>
      <c r="J26" s="165"/>
      <c r="K26" s="172">
        <f t="shared" si="5"/>
        <v>0</v>
      </c>
      <c r="L26" s="173">
        <f t="shared" si="2"/>
        <v>0</v>
      </c>
      <c r="M26" s="174"/>
      <c r="N26" s="448"/>
      <c r="O26" s="448"/>
      <c r="P26" s="449"/>
      <c r="Q26" s="152">
        <f>P26-H26*VLOOKUP(C26,Unit_Rates!$C$7:$E$51,3,FALSE)</f>
        <v>0</v>
      </c>
      <c r="R26" s="134">
        <v>0</v>
      </c>
      <c r="S26" s="134">
        <v>0</v>
      </c>
      <c r="T26" s="134">
        <v>0</v>
      </c>
      <c r="U26" s="134">
        <v>0</v>
      </c>
      <c r="V26" s="134">
        <v>0</v>
      </c>
      <c r="W26" s="134">
        <v>0</v>
      </c>
      <c r="X26" s="134">
        <v>0</v>
      </c>
      <c r="Y26" s="77">
        <f t="shared" si="3"/>
        <v>0</v>
      </c>
    </row>
    <row r="27" spans="2:41" x14ac:dyDescent="0.25">
      <c r="B27" s="84"/>
      <c r="C27" t="s">
        <v>141</v>
      </c>
      <c r="D27" t="str">
        <f>INDEX(Unit_Rates!$C$7:$K$113,MATCH($C27,Unit_Rates!$C$7:$C$113,0),5)</f>
        <v>Subtransmission</v>
      </c>
      <c r="E27" t="str">
        <f>INDEX(Unit_Rates!$C$7:$K$113,MATCH($C27,Unit_Rates!$C$7:$C$113,0),6)</f>
        <v>Augmentation</v>
      </c>
      <c r="F27" t="str">
        <f t="shared" si="4"/>
        <v>SubtransmissionAugmentation</v>
      </c>
      <c r="G27" s="170">
        <f>INDEX(Unit_Rates!$C$7:$K$113,MATCH($C27,Unit_Rates!$C$7:$C$113,0),7)</f>
        <v>699.99999999999989</v>
      </c>
      <c r="H27" s="171"/>
      <c r="I27" s="123" t="s">
        <v>294</v>
      </c>
      <c r="J27" s="165"/>
      <c r="K27" s="172">
        <f t="shared" si="5"/>
        <v>0</v>
      </c>
      <c r="L27" s="173">
        <f t="shared" si="2"/>
        <v>0</v>
      </c>
      <c r="M27" s="174"/>
      <c r="N27" s="448"/>
      <c r="O27" s="448"/>
      <c r="P27" s="449"/>
      <c r="Q27" s="152">
        <f>P27-H27*VLOOKUP(C27,Unit_Rates!$C$7:$E$51,3,FALSE)</f>
        <v>0</v>
      </c>
      <c r="R27" s="134">
        <v>0</v>
      </c>
      <c r="S27" s="134">
        <v>0</v>
      </c>
      <c r="T27" s="134">
        <v>0</v>
      </c>
      <c r="U27" s="134">
        <v>0</v>
      </c>
      <c r="V27" s="134">
        <v>0</v>
      </c>
      <c r="W27" s="134">
        <v>0</v>
      </c>
      <c r="X27" s="134">
        <v>0</v>
      </c>
      <c r="Y27" s="77">
        <f t="shared" si="3"/>
        <v>0</v>
      </c>
    </row>
    <row r="28" spans="2:41" x14ac:dyDescent="0.25">
      <c r="B28" s="84"/>
      <c r="C28" t="s">
        <v>147</v>
      </c>
      <c r="D28" t="str">
        <f>INDEX(Unit_Rates!$C$7:$K$113,MATCH($C28,Unit_Rates!$C$7:$C$113,0),5)</f>
        <v>Subtransmission</v>
      </c>
      <c r="E28" t="str">
        <f>INDEX(Unit_Rates!$C$7:$K$113,MATCH($C28,Unit_Rates!$C$7:$C$113,0),6)</f>
        <v>Augmentation</v>
      </c>
      <c r="F28" t="str">
        <f t="shared" si="4"/>
        <v>SubtransmissionAugmentation</v>
      </c>
      <c r="G28" s="170">
        <f>INDEX(Unit_Rates!$C$7:$K$113,MATCH($C28,Unit_Rates!$C$7:$C$113,0),7)</f>
        <v>91.292437209302321</v>
      </c>
      <c r="H28" s="171"/>
      <c r="I28" s="123" t="s">
        <v>294</v>
      </c>
      <c r="J28" s="165"/>
      <c r="K28" s="172">
        <f t="shared" si="5"/>
        <v>0</v>
      </c>
      <c r="L28" s="173">
        <f t="shared" si="2"/>
        <v>0</v>
      </c>
      <c r="M28" s="174"/>
      <c r="N28" s="448"/>
      <c r="O28" s="448"/>
      <c r="P28" s="449"/>
      <c r="Q28" s="152">
        <f>P28-H28*VLOOKUP(C28,Unit_Rates!$C$7:$E$51,3,FALSE)</f>
        <v>0</v>
      </c>
      <c r="R28" s="134">
        <v>0</v>
      </c>
      <c r="S28" s="134">
        <v>0</v>
      </c>
      <c r="T28" s="134">
        <v>0</v>
      </c>
      <c r="U28" s="134">
        <v>0</v>
      </c>
      <c r="V28" s="134">
        <v>0</v>
      </c>
      <c r="W28" s="134">
        <v>0</v>
      </c>
      <c r="X28" s="134">
        <v>0</v>
      </c>
      <c r="Y28" s="77">
        <f t="shared" si="3"/>
        <v>0</v>
      </c>
    </row>
    <row r="29" spans="2:41" x14ac:dyDescent="0.25">
      <c r="B29" s="84"/>
      <c r="C29" s="23" t="s">
        <v>149</v>
      </c>
      <c r="D29" t="str">
        <f>INDEX(Unit_Rates!$C$7:$K$113,MATCH($C29,Unit_Rates!$C$7:$C$113,0),5)</f>
        <v>Subtransmission</v>
      </c>
      <c r="E29" t="str">
        <f>INDEX(Unit_Rates!$C$7:$K$113,MATCH($C29,Unit_Rates!$C$7:$C$113,0),6)</f>
        <v>Augmentation</v>
      </c>
      <c r="F29" t="str">
        <f t="shared" si="4"/>
        <v>SubtransmissionAugmentation</v>
      </c>
      <c r="G29" s="170">
        <f>INDEX(Unit_Rates!$C$7:$K$113,MATCH($C29,Unit_Rates!$C$7:$C$113,0),7)</f>
        <v>0</v>
      </c>
      <c r="H29" s="171">
        <v>0</v>
      </c>
      <c r="I29" s="123" t="s">
        <v>294</v>
      </c>
      <c r="J29" s="165"/>
      <c r="K29" s="172">
        <f t="shared" si="5"/>
        <v>0</v>
      </c>
      <c r="L29" s="173">
        <f t="shared" si="2"/>
        <v>0</v>
      </c>
      <c r="M29" s="174"/>
      <c r="N29" s="448"/>
      <c r="O29" s="448"/>
      <c r="P29" s="449"/>
      <c r="Q29" s="152">
        <f>P29-H29*VLOOKUP(C29,Unit_Rates!$C$7:$E$51,3,FALSE)</f>
        <v>0</v>
      </c>
      <c r="R29" s="134">
        <v>0</v>
      </c>
      <c r="S29" s="134">
        <v>0</v>
      </c>
      <c r="T29" s="134">
        <v>0</v>
      </c>
      <c r="U29" s="134">
        <v>0</v>
      </c>
      <c r="V29" s="134">
        <v>0</v>
      </c>
      <c r="W29" s="134">
        <v>0</v>
      </c>
      <c r="X29" s="134">
        <v>0</v>
      </c>
      <c r="Y29" s="77">
        <f t="shared" si="3"/>
        <v>0</v>
      </c>
      <c r="AK29" s="318"/>
      <c r="AL29" s="23"/>
      <c r="AM29" s="23"/>
      <c r="AN29" s="23"/>
      <c r="AO29" s="23"/>
    </row>
    <row r="30" spans="2:41" x14ac:dyDescent="0.25">
      <c r="B30" s="84"/>
      <c r="C30" t="s">
        <v>150</v>
      </c>
      <c r="D30" t="str">
        <f>INDEX(Unit_Rates!$C$7:$K$113,MATCH($C30,Unit_Rates!$C$7:$C$113,0),5)</f>
        <v>Subtransmission</v>
      </c>
      <c r="E30" t="str">
        <f>INDEX(Unit_Rates!$C$7:$K$113,MATCH($C30,Unit_Rates!$C$7:$C$113,0),6)</f>
        <v>Augmentation</v>
      </c>
      <c r="F30" t="str">
        <f t="shared" si="4"/>
        <v>SubtransmissionAugmentation</v>
      </c>
      <c r="G30" s="170">
        <f>INDEX(Unit_Rates!$C$7:$K$113,MATCH($C30,Unit_Rates!$C$7:$C$113,0),7)</f>
        <v>107.00599999999997</v>
      </c>
      <c r="H30" s="171"/>
      <c r="I30" s="123" t="s">
        <v>294</v>
      </c>
      <c r="J30" s="165"/>
      <c r="K30" s="172">
        <f t="shared" si="5"/>
        <v>0</v>
      </c>
      <c r="L30" s="173">
        <f t="shared" si="2"/>
        <v>0</v>
      </c>
      <c r="M30" s="174"/>
      <c r="N30" s="448"/>
      <c r="O30" s="448"/>
      <c r="P30" s="449"/>
      <c r="Q30" s="152">
        <f>P30-H30*VLOOKUP(C30,Unit_Rates!$C$7:$E$51,3,FALSE)</f>
        <v>0</v>
      </c>
      <c r="R30" s="134">
        <v>0</v>
      </c>
      <c r="S30" s="134">
        <v>0</v>
      </c>
      <c r="T30" s="134">
        <v>0</v>
      </c>
      <c r="U30" s="134">
        <v>0</v>
      </c>
      <c r="V30" s="134">
        <v>0</v>
      </c>
      <c r="W30" s="134">
        <v>0</v>
      </c>
      <c r="X30" s="134">
        <v>0</v>
      </c>
      <c r="Y30" s="77">
        <f t="shared" si="3"/>
        <v>0</v>
      </c>
    </row>
    <row r="31" spans="2:41" x14ac:dyDescent="0.25">
      <c r="B31" s="84"/>
      <c r="C31" t="s">
        <v>152</v>
      </c>
      <c r="D31" t="str">
        <f>INDEX(Unit_Rates!$C$7:$K$113,MATCH($C31,Unit_Rates!$C$7:$C$113,0),5)</f>
        <v>Subtransmission</v>
      </c>
      <c r="E31" t="str">
        <f>INDEX(Unit_Rates!$C$7:$K$113,MATCH($C31,Unit_Rates!$C$7:$C$113,0),6)</f>
        <v>Augmentation</v>
      </c>
      <c r="F31" t="str">
        <f t="shared" si="4"/>
        <v>SubtransmissionAugmentation</v>
      </c>
      <c r="G31" s="170">
        <f>INDEX(Unit_Rates!$C$7:$K$113,MATCH($C31,Unit_Rates!$C$7:$C$113,0),7)</f>
        <v>7.6639999999999979</v>
      </c>
      <c r="H31" s="171"/>
      <c r="I31" s="123" t="s">
        <v>294</v>
      </c>
      <c r="J31" s="165"/>
      <c r="K31" s="172">
        <f t="shared" si="5"/>
        <v>0</v>
      </c>
      <c r="L31" s="173">
        <f t="shared" si="2"/>
        <v>0</v>
      </c>
      <c r="M31" s="174"/>
      <c r="N31" s="448"/>
      <c r="O31" s="448"/>
      <c r="P31" s="449"/>
      <c r="Q31" s="152">
        <f>P31-H31*VLOOKUP(C31,Unit_Rates!$C$7:$E$51,3,FALSE)</f>
        <v>0</v>
      </c>
      <c r="R31" s="134">
        <v>0</v>
      </c>
      <c r="S31" s="134">
        <v>0</v>
      </c>
      <c r="T31" s="134">
        <v>0</v>
      </c>
      <c r="U31" s="134">
        <v>0</v>
      </c>
      <c r="V31" s="134">
        <v>0</v>
      </c>
      <c r="W31" s="134">
        <v>0</v>
      </c>
      <c r="X31" s="134">
        <v>0</v>
      </c>
      <c r="Y31" s="77">
        <f t="shared" si="3"/>
        <v>0</v>
      </c>
    </row>
    <row r="32" spans="2:41" x14ac:dyDescent="0.25">
      <c r="B32" s="84"/>
      <c r="C32" t="s">
        <v>156</v>
      </c>
      <c r="D32" t="str">
        <f>INDEX(Unit_Rates!$C$7:$K$113,MATCH($C32,Unit_Rates!$C$7:$C$113,0),5)</f>
        <v>Subtransmission</v>
      </c>
      <c r="E32" t="str">
        <f>INDEX(Unit_Rates!$C$7:$K$113,MATCH($C32,Unit_Rates!$C$7:$C$113,0),6)</f>
        <v>Augmentation</v>
      </c>
      <c r="F32" t="str">
        <f t="shared" si="4"/>
        <v>SubtransmissionAugmentation</v>
      </c>
      <c r="G32" s="170">
        <f>INDEX(Unit_Rates!$C$7:$K$113,MATCH($C32,Unit_Rates!$C$7:$C$113,0),7)</f>
        <v>27.162999999999993</v>
      </c>
      <c r="H32" s="171"/>
      <c r="I32" s="123" t="s">
        <v>294</v>
      </c>
      <c r="J32" s="165"/>
      <c r="K32" s="172">
        <f t="shared" si="5"/>
        <v>0</v>
      </c>
      <c r="L32" s="173">
        <f t="shared" si="2"/>
        <v>0</v>
      </c>
      <c r="M32" s="174"/>
      <c r="N32" s="448"/>
      <c r="O32" s="448"/>
      <c r="P32" s="449"/>
      <c r="Q32" s="152">
        <f>P32-H32*VLOOKUP(C32,Unit_Rates!$C$7:$E$51,3,FALSE)</f>
        <v>0</v>
      </c>
      <c r="R32" s="134">
        <v>0</v>
      </c>
      <c r="S32" s="134">
        <v>0</v>
      </c>
      <c r="T32" s="134">
        <v>0</v>
      </c>
      <c r="U32" s="134">
        <v>0</v>
      </c>
      <c r="V32" s="134">
        <v>0</v>
      </c>
      <c r="W32" s="134">
        <v>0</v>
      </c>
      <c r="X32" s="134">
        <v>0</v>
      </c>
      <c r="Y32" s="77">
        <f t="shared" si="3"/>
        <v>0</v>
      </c>
    </row>
    <row r="33" spans="2:25" x14ac:dyDescent="0.25">
      <c r="B33" s="84"/>
      <c r="C33" t="s">
        <v>157</v>
      </c>
      <c r="D33" t="str">
        <f>INDEX(Unit_Rates!$C$7:$K$113,MATCH($C33,Unit_Rates!$C$7:$C$113,0),5)</f>
        <v>Subtransmission</v>
      </c>
      <c r="E33" t="str">
        <f>INDEX(Unit_Rates!$C$7:$K$113,MATCH($C33,Unit_Rates!$C$7:$C$113,0),6)</f>
        <v>Augmentation</v>
      </c>
      <c r="F33" t="str">
        <f t="shared" si="4"/>
        <v>SubtransmissionAugmentation</v>
      </c>
      <c r="G33" s="170">
        <f>INDEX(Unit_Rates!$C$7:$K$113,MATCH($C33,Unit_Rates!$C$7:$C$113,0),7)</f>
        <v>0</v>
      </c>
      <c r="H33" s="171">
        <v>9</v>
      </c>
      <c r="I33" s="123" t="s">
        <v>294</v>
      </c>
      <c r="J33" s="165"/>
      <c r="K33" s="172">
        <f t="shared" si="5"/>
        <v>0</v>
      </c>
      <c r="L33" s="173">
        <f t="shared" si="2"/>
        <v>0</v>
      </c>
      <c r="M33" s="174"/>
      <c r="N33" s="448"/>
      <c r="O33" s="448"/>
      <c r="P33" s="449"/>
      <c r="Q33" s="152">
        <f>P33-H33*VLOOKUP(C33,Unit_Rates!$C$7:$E$51,3,FALSE)</f>
        <v>0</v>
      </c>
      <c r="R33" s="134">
        <v>0</v>
      </c>
      <c r="S33" s="134">
        <v>0</v>
      </c>
      <c r="T33" s="134">
        <v>0</v>
      </c>
      <c r="U33" s="134">
        <v>0</v>
      </c>
      <c r="V33" s="134">
        <v>0</v>
      </c>
      <c r="W33" s="134">
        <v>0</v>
      </c>
      <c r="X33" s="134">
        <v>0</v>
      </c>
      <c r="Y33" s="77">
        <f t="shared" si="3"/>
        <v>0</v>
      </c>
    </row>
    <row r="34" spans="2:25" x14ac:dyDescent="0.25">
      <c r="B34" s="84"/>
      <c r="C34" t="s">
        <v>155</v>
      </c>
      <c r="D34" t="str">
        <f>INDEX(Unit_Rates!$C$7:$K$113,MATCH($C34,Unit_Rates!$C$7:$C$113,0),5)</f>
        <v>Subtransmission</v>
      </c>
      <c r="E34" t="str">
        <f>INDEX(Unit_Rates!$C$7:$K$113,MATCH($C34,Unit_Rates!$C$7:$C$113,0),6)</f>
        <v>Augmentation</v>
      </c>
      <c r="F34" t="str">
        <f t="shared" si="4"/>
        <v>SubtransmissionAugmentation</v>
      </c>
      <c r="G34" s="170">
        <f>INDEX(Unit_Rates!$C$7:$K$113,MATCH($C34,Unit_Rates!$C$7:$C$113,0),7)</f>
        <v>0</v>
      </c>
      <c r="H34" s="171"/>
      <c r="I34" s="123" t="s">
        <v>294</v>
      </c>
      <c r="J34" s="165"/>
      <c r="K34" s="172">
        <f t="shared" si="5"/>
        <v>0</v>
      </c>
      <c r="L34" s="173">
        <f t="shared" si="2"/>
        <v>0</v>
      </c>
      <c r="M34" s="174"/>
      <c r="N34" s="448"/>
      <c r="O34" s="448"/>
      <c r="P34" s="449"/>
      <c r="Q34" s="152">
        <f>P34-H34*VLOOKUP(C34,Unit_Rates!$C$7:$E$51,3,FALSE)</f>
        <v>0</v>
      </c>
      <c r="R34" s="134">
        <v>0</v>
      </c>
      <c r="S34" s="134">
        <v>0</v>
      </c>
      <c r="T34" s="134">
        <v>0</v>
      </c>
      <c r="U34" s="134">
        <v>0</v>
      </c>
      <c r="V34" s="134">
        <v>0</v>
      </c>
      <c r="W34" s="134">
        <v>0</v>
      </c>
      <c r="X34" s="134">
        <v>0</v>
      </c>
      <c r="Y34" s="77">
        <f t="shared" si="3"/>
        <v>0</v>
      </c>
    </row>
    <row r="35" spans="2:25" x14ac:dyDescent="0.25">
      <c r="B35" s="84"/>
      <c r="C35" t="s">
        <v>159</v>
      </c>
      <c r="D35" t="str">
        <f>INDEX(Unit_Rates!$C$7:$K$113,MATCH($C35,Unit_Rates!$C$7:$C$113,0),5)</f>
        <v>Subtransmission</v>
      </c>
      <c r="E35" t="str">
        <f>INDEX(Unit_Rates!$C$7:$K$113,MATCH($C35,Unit_Rates!$C$7:$C$113,0),6)</f>
        <v>Augmentation</v>
      </c>
      <c r="F35" t="str">
        <f t="shared" si="4"/>
        <v>SubtransmissionAugmentation</v>
      </c>
      <c r="G35" s="170">
        <f>INDEX(Unit_Rates!$C$7:$K$113,MATCH($C35,Unit_Rates!$C$7:$C$113,0),7)</f>
        <v>0.61999999999999977</v>
      </c>
      <c r="H35" s="171"/>
      <c r="I35" s="123" t="s">
        <v>294</v>
      </c>
      <c r="J35" s="165"/>
      <c r="K35" s="172">
        <f t="shared" si="5"/>
        <v>0</v>
      </c>
      <c r="L35" s="173">
        <f t="shared" si="2"/>
        <v>0</v>
      </c>
      <c r="M35" s="174"/>
      <c r="N35" s="448"/>
      <c r="O35" s="448"/>
      <c r="P35" s="449"/>
      <c r="Q35" s="152">
        <f>P35-H35*VLOOKUP(C35,Unit_Rates!$C$7:$E$51,3,FALSE)</f>
        <v>0</v>
      </c>
      <c r="R35" s="134">
        <v>0</v>
      </c>
      <c r="S35" s="134">
        <v>0</v>
      </c>
      <c r="T35" s="134">
        <v>0</v>
      </c>
      <c r="U35" s="134">
        <v>0</v>
      </c>
      <c r="V35" s="134">
        <v>0</v>
      </c>
      <c r="W35" s="134">
        <v>0</v>
      </c>
      <c r="X35" s="134">
        <v>0</v>
      </c>
      <c r="Y35" s="77">
        <f t="shared" si="3"/>
        <v>0</v>
      </c>
    </row>
    <row r="36" spans="2:25" x14ac:dyDescent="0.25">
      <c r="B36" s="84"/>
      <c r="C36" t="s">
        <v>179</v>
      </c>
      <c r="D36" t="str">
        <f>INDEX(Unit_Rates!$C$7:$K$113,MATCH($C36,Unit_Rates!$C$7:$C$113,0),5)</f>
        <v>Subtransmission</v>
      </c>
      <c r="E36" t="str">
        <f>INDEX(Unit_Rates!$C$7:$K$113,MATCH($C36,Unit_Rates!$C$7:$C$113,0),6)</f>
        <v>Augmentation</v>
      </c>
      <c r="F36" t="str">
        <f t="shared" si="4"/>
        <v>SubtransmissionAugmentation</v>
      </c>
      <c r="G36" s="170">
        <f>INDEX(Unit_Rates!$C$7:$K$113,MATCH($C36,Unit_Rates!$C$7:$C$113,0),7)</f>
        <v>0</v>
      </c>
      <c r="H36" s="171">
        <v>2</v>
      </c>
      <c r="I36" s="123" t="s">
        <v>294</v>
      </c>
      <c r="J36" s="165"/>
      <c r="K36" s="172">
        <f t="shared" si="5"/>
        <v>0</v>
      </c>
      <c r="L36" s="173">
        <f t="shared" si="2"/>
        <v>0</v>
      </c>
      <c r="M36" s="174"/>
      <c r="N36" s="448"/>
      <c r="O36" s="448"/>
      <c r="P36" s="449"/>
      <c r="Q36" s="152">
        <f>P36-H36*VLOOKUP(C36,Unit_Rates!$C$7:$E$51,3,FALSE)</f>
        <v>0</v>
      </c>
      <c r="R36" s="134">
        <v>0</v>
      </c>
      <c r="S36" s="134">
        <v>0</v>
      </c>
      <c r="T36" s="134">
        <v>0</v>
      </c>
      <c r="U36" s="134">
        <v>0</v>
      </c>
      <c r="V36" s="134">
        <v>0</v>
      </c>
      <c r="W36" s="134">
        <v>0</v>
      </c>
      <c r="X36" s="134">
        <v>0</v>
      </c>
      <c r="Y36" s="77">
        <f t="shared" si="3"/>
        <v>0</v>
      </c>
    </row>
    <row r="37" spans="2:25" x14ac:dyDescent="0.25">
      <c r="B37" s="84"/>
      <c r="C37" t="s">
        <v>161</v>
      </c>
      <c r="D37" t="str">
        <f>INDEX(Unit_Rates!$C$7:$K$113,MATCH($C37,Unit_Rates!$C$7:$C$113,0),5)</f>
        <v>Subtransmission</v>
      </c>
      <c r="E37" t="str">
        <f>INDEX(Unit_Rates!$C$7:$K$113,MATCH($C37,Unit_Rates!$C$7:$C$113,0),6)</f>
        <v>Augmentation</v>
      </c>
      <c r="F37" t="str">
        <f t="shared" si="4"/>
        <v>SubtransmissionAugmentation</v>
      </c>
      <c r="G37" s="170">
        <f>INDEX(Unit_Rates!$C$7:$K$113,MATCH($C37,Unit_Rates!$C$7:$C$113,0),7)</f>
        <v>93.853999999999985</v>
      </c>
      <c r="H37" s="171">
        <v>1</v>
      </c>
      <c r="I37" s="123" t="s">
        <v>294</v>
      </c>
      <c r="J37" s="165"/>
      <c r="K37" s="172">
        <f t="shared" si="5"/>
        <v>93.853999999999985</v>
      </c>
      <c r="L37" s="173">
        <f t="shared" si="2"/>
        <v>0</v>
      </c>
      <c r="M37" s="174"/>
      <c r="N37" s="448"/>
      <c r="O37" s="448"/>
      <c r="P37" s="449"/>
      <c r="Q37" s="152">
        <f>P37-H37*VLOOKUP(C37,Unit_Rates!$C$7:$E$51,3,FALSE)</f>
        <v>0</v>
      </c>
      <c r="R37" s="134">
        <v>0</v>
      </c>
      <c r="S37" s="134">
        <v>0</v>
      </c>
      <c r="T37" s="134">
        <v>0</v>
      </c>
      <c r="U37" s="134">
        <v>0</v>
      </c>
      <c r="V37" s="134">
        <v>0</v>
      </c>
      <c r="W37" s="134">
        <v>0</v>
      </c>
      <c r="X37" s="134">
        <v>0</v>
      </c>
      <c r="Y37" s="77">
        <f t="shared" si="3"/>
        <v>0</v>
      </c>
    </row>
    <row r="38" spans="2:25" x14ac:dyDescent="0.25">
      <c r="B38" s="84"/>
      <c r="C38" t="s">
        <v>163</v>
      </c>
      <c r="D38" t="str">
        <f>INDEX(Unit_Rates!$C$7:$K$113,MATCH($C38,Unit_Rates!$C$7:$C$113,0),5)</f>
        <v>Subtransmission</v>
      </c>
      <c r="E38" t="str">
        <f>INDEX(Unit_Rates!$C$7:$K$113,MATCH($C38,Unit_Rates!$C$7:$C$113,0),6)</f>
        <v>Augmentation</v>
      </c>
      <c r="F38" t="str">
        <f t="shared" si="4"/>
        <v>SubtransmissionAugmentation</v>
      </c>
      <c r="G38" s="170">
        <f>INDEX(Unit_Rates!$C$7:$K$113,MATCH($C38,Unit_Rates!$C$7:$C$113,0),7)</f>
        <v>0</v>
      </c>
      <c r="H38" s="171">
        <v>1</v>
      </c>
      <c r="I38" s="123" t="s">
        <v>294</v>
      </c>
      <c r="J38" s="165"/>
      <c r="K38" s="172">
        <f t="shared" si="5"/>
        <v>0</v>
      </c>
      <c r="L38" s="173">
        <f t="shared" si="2"/>
        <v>0</v>
      </c>
      <c r="M38" s="174"/>
      <c r="N38" s="448"/>
      <c r="O38" s="448"/>
      <c r="P38" s="449"/>
      <c r="Q38" s="152">
        <f>P38-H38*VLOOKUP(C38,Unit_Rates!$C$7:$E$51,3,FALSE)</f>
        <v>0</v>
      </c>
      <c r="R38" s="134">
        <v>0</v>
      </c>
      <c r="S38" s="134">
        <v>0</v>
      </c>
      <c r="T38" s="134">
        <v>0</v>
      </c>
      <c r="U38" s="134">
        <v>0</v>
      </c>
      <c r="V38" s="134">
        <v>0</v>
      </c>
      <c r="W38" s="134">
        <v>0</v>
      </c>
      <c r="X38" s="134">
        <v>0</v>
      </c>
      <c r="Y38" s="77">
        <f t="shared" si="3"/>
        <v>0</v>
      </c>
    </row>
    <row r="39" spans="2:25" x14ac:dyDescent="0.25">
      <c r="B39" s="84"/>
      <c r="C39" t="s">
        <v>169</v>
      </c>
      <c r="D39" t="str">
        <f>INDEX(Unit_Rates!$C$7:$K$113,MATCH($C39,Unit_Rates!$C$7:$C$113,0),5)</f>
        <v>Subtransmission</v>
      </c>
      <c r="E39" t="str">
        <f>INDEX(Unit_Rates!$C$7:$K$113,MATCH($C39,Unit_Rates!$C$7:$C$113,0),6)</f>
        <v>Augmentation</v>
      </c>
      <c r="F39" t="str">
        <f t="shared" si="4"/>
        <v>SubtransmissionAugmentation</v>
      </c>
      <c r="G39" s="170">
        <f>INDEX(Unit_Rates!$C$7:$K$113,MATCH($C39,Unit_Rates!$C$7:$C$113,0),7)</f>
        <v>174.5855255813953</v>
      </c>
      <c r="H39" s="171"/>
      <c r="I39" s="123" t="s">
        <v>294</v>
      </c>
      <c r="J39" s="165"/>
      <c r="K39" s="172">
        <f t="shared" si="5"/>
        <v>0</v>
      </c>
      <c r="L39" s="173">
        <f t="shared" si="2"/>
        <v>0</v>
      </c>
      <c r="M39" s="174"/>
      <c r="N39" s="448"/>
      <c r="O39" s="448"/>
      <c r="P39" s="449"/>
      <c r="Q39" s="152"/>
      <c r="R39" s="134">
        <v>0</v>
      </c>
      <c r="S39" s="134">
        <v>0</v>
      </c>
      <c r="T39" s="134">
        <v>0</v>
      </c>
      <c r="U39" s="134">
        <v>0</v>
      </c>
      <c r="V39" s="134">
        <v>0</v>
      </c>
      <c r="W39" s="134">
        <v>0</v>
      </c>
      <c r="X39" s="134">
        <v>0</v>
      </c>
      <c r="Y39" s="77">
        <f t="shared" si="3"/>
        <v>0</v>
      </c>
    </row>
    <row r="40" spans="2:25" x14ac:dyDescent="0.25">
      <c r="B40" s="84"/>
      <c r="C40" t="s">
        <v>171</v>
      </c>
      <c r="D40" t="str">
        <f>INDEX(Unit_Rates!$C$7:$K$113,MATCH($C40,Unit_Rates!$C$7:$C$113,0),5)</f>
        <v>Subtransmission</v>
      </c>
      <c r="E40" t="str">
        <f>INDEX(Unit_Rates!$C$7:$K$113,MATCH($C40,Unit_Rates!$C$7:$C$113,0),6)</f>
        <v>Augmentation</v>
      </c>
      <c r="F40" t="str">
        <f t="shared" si="4"/>
        <v>SubtransmissionAugmentation</v>
      </c>
      <c r="G40" s="170">
        <f>INDEX(Unit_Rates!$C$7:$K$113,MATCH($C40,Unit_Rates!$C$7:$C$113,0),7)</f>
        <v>369.03899999999987</v>
      </c>
      <c r="H40" s="171"/>
      <c r="I40" s="123" t="s">
        <v>294</v>
      </c>
      <c r="J40" s="165"/>
      <c r="K40" s="172">
        <f t="shared" si="5"/>
        <v>0</v>
      </c>
      <c r="L40" s="173">
        <f t="shared" si="2"/>
        <v>0</v>
      </c>
      <c r="M40" s="174"/>
      <c r="N40" s="448"/>
      <c r="O40" s="448"/>
      <c r="P40" s="449"/>
      <c r="Q40" s="152"/>
      <c r="R40" s="134">
        <v>0</v>
      </c>
      <c r="S40" s="134">
        <v>0</v>
      </c>
      <c r="T40" s="134">
        <v>0</v>
      </c>
      <c r="U40" s="134">
        <v>0</v>
      </c>
      <c r="V40" s="134">
        <v>0</v>
      </c>
      <c r="W40" s="134">
        <v>0</v>
      </c>
      <c r="X40" s="134">
        <v>0</v>
      </c>
      <c r="Y40" s="77">
        <f t="shared" si="3"/>
        <v>0</v>
      </c>
    </row>
    <row r="41" spans="2:25" x14ac:dyDescent="0.25">
      <c r="B41" s="84"/>
      <c r="C41" t="s">
        <v>173</v>
      </c>
      <c r="D41" t="str">
        <f>INDEX(Unit_Rates!$C$7:$K$113,MATCH($C41,Unit_Rates!$C$7:$C$113,0),5)</f>
        <v>Subtransmission</v>
      </c>
      <c r="E41" t="str">
        <f>INDEX(Unit_Rates!$C$7:$K$113,MATCH($C41,Unit_Rates!$C$7:$C$113,0),6)</f>
        <v>Augmentation</v>
      </c>
      <c r="F41" t="str">
        <f t="shared" si="4"/>
        <v>SubtransmissionAugmentation</v>
      </c>
      <c r="G41" s="170">
        <v>11.182499999999999</v>
      </c>
      <c r="H41" s="171">
        <v>1</v>
      </c>
      <c r="I41" s="123" t="s">
        <v>295</v>
      </c>
      <c r="J41" s="165"/>
      <c r="K41" s="172">
        <f t="shared" si="5"/>
        <v>11.182499999999999</v>
      </c>
      <c r="L41" s="173">
        <f t="shared" si="2"/>
        <v>0</v>
      </c>
      <c r="M41" s="174"/>
      <c r="N41" s="448"/>
      <c r="O41" s="451"/>
      <c r="P41" s="449"/>
      <c r="Q41" s="152"/>
      <c r="R41" s="134">
        <v>0</v>
      </c>
      <c r="S41" s="134">
        <v>0</v>
      </c>
      <c r="T41" s="134">
        <v>0</v>
      </c>
      <c r="U41" s="134">
        <v>0</v>
      </c>
      <c r="V41" s="134">
        <v>0</v>
      </c>
      <c r="W41" s="134">
        <v>0</v>
      </c>
      <c r="X41" s="134">
        <v>0</v>
      </c>
      <c r="Y41" s="77">
        <f t="shared" si="3"/>
        <v>0</v>
      </c>
    </row>
    <row r="42" spans="2:25" x14ac:dyDescent="0.25">
      <c r="B42" s="84"/>
      <c r="C42" t="s">
        <v>177</v>
      </c>
      <c r="D42" t="str">
        <f>INDEX(Unit_Rates!$C$7:$K$113,MATCH($C42,Unit_Rates!$C$7:$C$113,0),5)</f>
        <v>Subtransmission</v>
      </c>
      <c r="E42" t="str">
        <f>INDEX(Unit_Rates!$C$7:$K$113,MATCH($C42,Unit_Rates!$C$7:$C$113,0),6)</f>
        <v>Augmentation</v>
      </c>
      <c r="F42" t="str">
        <f t="shared" si="4"/>
        <v>SubtransmissionAugmentation</v>
      </c>
      <c r="G42" s="179">
        <f>INDEX(Unit_Rates!$C$7:$K$113,MATCH($C42,Unit_Rates!$C$7:$C$113,0),7)</f>
        <v>4.9999999999999996E-2</v>
      </c>
      <c r="H42" s="171">
        <v>0</v>
      </c>
      <c r="I42" s="123" t="s">
        <v>295</v>
      </c>
      <c r="J42" s="165"/>
      <c r="K42" s="172">
        <f t="shared" si="5"/>
        <v>0</v>
      </c>
      <c r="L42" s="173">
        <f t="shared" si="2"/>
        <v>0</v>
      </c>
      <c r="M42" s="174"/>
      <c r="N42" s="448"/>
      <c r="O42" s="448"/>
      <c r="P42" s="449"/>
      <c r="Q42" s="152">
        <f>P42-H42*VLOOKUP(C42,Unit_Rates!$C$7:$E$51,3,FALSE)</f>
        <v>0</v>
      </c>
      <c r="R42" s="134">
        <v>0</v>
      </c>
      <c r="S42" s="134">
        <v>0</v>
      </c>
      <c r="T42" s="134">
        <v>0</v>
      </c>
      <c r="U42" s="134">
        <v>0</v>
      </c>
      <c r="V42" s="134">
        <v>0</v>
      </c>
      <c r="W42" s="134">
        <v>0</v>
      </c>
      <c r="X42" s="134">
        <v>0</v>
      </c>
      <c r="Y42" s="77">
        <f t="shared" si="3"/>
        <v>0</v>
      </c>
    </row>
    <row r="43" spans="2:25" x14ac:dyDescent="0.25">
      <c r="B43" s="84"/>
      <c r="C43" t="s">
        <v>25</v>
      </c>
      <c r="D43" t="s">
        <v>3</v>
      </c>
      <c r="E43" t="s">
        <v>27</v>
      </c>
      <c r="F43" t="str">
        <f t="shared" si="4"/>
        <v>SubtransmissionAugmentation</v>
      </c>
      <c r="G43" s="170">
        <v>0</v>
      </c>
      <c r="H43" s="171">
        <v>1</v>
      </c>
      <c r="I43" s="123" t="s">
        <v>294</v>
      </c>
      <c r="J43" s="165"/>
      <c r="K43" s="172">
        <f t="shared" si="5"/>
        <v>0</v>
      </c>
      <c r="L43" s="180">
        <f t="shared" si="2"/>
        <v>0</v>
      </c>
      <c r="M43" s="174"/>
      <c r="N43" s="448"/>
      <c r="O43" s="451"/>
      <c r="P43" s="449"/>
      <c r="Q43" s="152"/>
      <c r="R43" s="134">
        <v>0</v>
      </c>
      <c r="S43" s="134">
        <v>0</v>
      </c>
      <c r="T43" s="134">
        <v>0</v>
      </c>
      <c r="U43" s="134">
        <v>0</v>
      </c>
      <c r="V43" s="134">
        <v>0</v>
      </c>
      <c r="W43" s="134">
        <v>0</v>
      </c>
      <c r="X43" s="134">
        <v>0</v>
      </c>
      <c r="Y43" s="77">
        <f t="shared" si="3"/>
        <v>0</v>
      </c>
    </row>
    <row r="44" spans="2:25" x14ac:dyDescent="0.25">
      <c r="B44" s="84"/>
      <c r="C44" t="s">
        <v>338</v>
      </c>
      <c r="D44" t="str">
        <f>INDEX(Unit_Rates!$C$7:$K$113,MATCH($C44,Unit_Rates!$C$7:$C$113,0),5)</f>
        <v>Subtransmission</v>
      </c>
      <c r="E44" t="str">
        <f>INDEX(Unit_Rates!$C$7:$K$113,MATCH($C44,Unit_Rates!$C$7:$C$113,0),6)</f>
        <v>Augmentation</v>
      </c>
      <c r="F44" t="str">
        <f t="shared" si="4"/>
        <v>SubtransmissionAugmentation</v>
      </c>
      <c r="G44" s="170">
        <f>INDEX(Unit_Rates!$C$7:$K$113,MATCH($C44,Unit_Rates!$C$7:$C$113,0),7)</f>
        <v>406.8</v>
      </c>
      <c r="H44" s="171"/>
      <c r="I44" s="123" t="s">
        <v>294</v>
      </c>
      <c r="J44" s="165"/>
      <c r="K44" s="172">
        <f t="shared" si="5"/>
        <v>0</v>
      </c>
      <c r="L44" s="180">
        <f t="shared" si="2"/>
        <v>0</v>
      </c>
      <c r="M44" s="174"/>
      <c r="N44" s="448"/>
      <c r="O44" s="448"/>
      <c r="P44" s="449"/>
      <c r="Q44" s="152">
        <f>P44-H44*VLOOKUP(C44,Unit_Rates!$C$7:$E$51,3,FALSE)</f>
        <v>0</v>
      </c>
      <c r="R44" s="127"/>
      <c r="S44" s="127"/>
      <c r="T44" s="127"/>
      <c r="U44" s="127"/>
      <c r="V44" s="127"/>
      <c r="W44" s="127"/>
      <c r="X44" s="127"/>
      <c r="Y44" s="77">
        <f t="shared" si="3"/>
        <v>0</v>
      </c>
    </row>
    <row r="45" spans="2:25" x14ac:dyDescent="0.25">
      <c r="B45" s="84"/>
      <c r="C45" s="23" t="s">
        <v>185</v>
      </c>
      <c r="D45" t="str">
        <f>INDEX(Unit_Rates!$C$7:$K$113,MATCH($C45,Unit_Rates!$C$7:$C$113,0),5)</f>
        <v>Subtransmission</v>
      </c>
      <c r="E45" t="str">
        <f>INDEX(Unit_Rates!$C$7:$K$113,MATCH($C45,Unit_Rates!$C$7:$C$113,0),6)</f>
        <v>Augmentation</v>
      </c>
      <c r="F45" t="str">
        <f t="shared" si="4"/>
        <v>SubtransmissionAugmentation</v>
      </c>
      <c r="G45" s="170">
        <f>INDEX(Unit_Rates!$C$7:$K$113,MATCH($C45,Unit_Rates!$C$7:$C$113,0),7)</f>
        <v>430</v>
      </c>
      <c r="H45" s="171"/>
      <c r="I45" s="123" t="s">
        <v>294</v>
      </c>
      <c r="J45" s="165"/>
      <c r="K45" s="172">
        <v>0</v>
      </c>
      <c r="L45" s="180">
        <f t="shared" si="2"/>
        <v>0</v>
      </c>
      <c r="M45" s="174"/>
      <c r="N45" s="448"/>
      <c r="O45" s="448"/>
      <c r="P45" s="449"/>
      <c r="Q45" s="152"/>
      <c r="R45" s="127"/>
      <c r="S45" s="127"/>
      <c r="T45" s="127"/>
      <c r="U45" s="127"/>
      <c r="V45" s="127"/>
      <c r="W45" s="127"/>
      <c r="X45" s="127"/>
    </row>
    <row r="46" spans="2:25" x14ac:dyDescent="0.25">
      <c r="B46" s="84"/>
      <c r="G46" s="170"/>
      <c r="H46" s="171"/>
      <c r="I46" s="167"/>
      <c r="J46" s="165"/>
      <c r="K46" s="149"/>
      <c r="L46" s="167"/>
      <c r="M46" s="169"/>
      <c r="N46" s="168"/>
      <c r="O46" s="168"/>
      <c r="P46" s="169"/>
      <c r="Q46" s="152"/>
      <c r="R46" s="134">
        <v>0</v>
      </c>
      <c r="S46" s="134">
        <v>0</v>
      </c>
      <c r="T46" s="134">
        <v>0</v>
      </c>
      <c r="U46" s="134">
        <v>0</v>
      </c>
      <c r="V46" s="134">
        <v>0</v>
      </c>
      <c r="W46" s="134">
        <v>0</v>
      </c>
      <c r="X46" s="134">
        <v>0</v>
      </c>
    </row>
    <row r="47" spans="2:25" x14ac:dyDescent="0.25">
      <c r="B47" s="120" t="s">
        <v>296</v>
      </c>
      <c r="G47" s="170"/>
      <c r="H47" s="171"/>
      <c r="I47" s="123"/>
      <c r="J47" s="153"/>
      <c r="K47" s="172"/>
      <c r="L47" s="172"/>
      <c r="M47" s="181"/>
      <c r="N47" s="182"/>
      <c r="O47" s="181"/>
      <c r="P47" s="126"/>
      <c r="Q47" s="152"/>
      <c r="R47" s="134">
        <v>0</v>
      </c>
      <c r="S47" s="134">
        <v>0</v>
      </c>
      <c r="T47" s="134">
        <v>0</v>
      </c>
      <c r="U47" s="134">
        <v>0</v>
      </c>
      <c r="V47" s="134">
        <v>0</v>
      </c>
      <c r="W47" s="134">
        <v>0</v>
      </c>
      <c r="X47" s="134">
        <v>0</v>
      </c>
      <c r="Y47" s="77">
        <f t="shared" ref="Y47:Y53" si="6">SUM(R47:X47)</f>
        <v>0</v>
      </c>
    </row>
    <row r="48" spans="2:25" x14ac:dyDescent="0.25">
      <c r="B48" s="84"/>
      <c r="C48" t="s">
        <v>187</v>
      </c>
      <c r="D48" t="str">
        <f>INDEX(Unit_Rates!$C$7:$K$113,MATCH($C48,Unit_Rates!$C$7:$C$113,0),5)</f>
        <v>SCADA/Network control</v>
      </c>
      <c r="E48" t="str">
        <f>INDEX(Unit_Rates!$C$7:$K$113,MATCH($C48,Unit_Rates!$C$7:$C$113,0),6)</f>
        <v>Augmentation</v>
      </c>
      <c r="F48" t="str">
        <f t="shared" ref="F48:F54" si="7">D48&amp;E48</f>
        <v>SCADA/Network controlAugmentation</v>
      </c>
      <c r="G48" s="170">
        <f>INDEX(Unit_Rates!$C$7:$K$113,MATCH($C48,Unit_Rates!$C$7:$C$113,0),7)</f>
        <v>48.982274401473298</v>
      </c>
      <c r="H48" s="171"/>
      <c r="I48" s="123" t="s">
        <v>294</v>
      </c>
      <c r="J48" s="165"/>
      <c r="K48" s="149">
        <f>G48*H48</f>
        <v>0</v>
      </c>
      <c r="L48" s="149">
        <f t="shared" ref="L48:L54" si="8">SUMPRODUCT(R$5:X$5,R48:X48)/Thousands</f>
        <v>0</v>
      </c>
      <c r="M48" s="151"/>
      <c r="N48" s="448"/>
      <c r="O48" s="448"/>
      <c r="P48" s="449"/>
      <c r="Q48" s="152">
        <f>P48-H48*VLOOKUP(C48,Unit_Rates!$C$103:$E$113,3,FALSE)</f>
        <v>0</v>
      </c>
      <c r="R48" s="134">
        <v>0</v>
      </c>
      <c r="S48" s="134">
        <v>0</v>
      </c>
      <c r="T48" s="134">
        <v>0</v>
      </c>
      <c r="U48" s="134">
        <v>0</v>
      </c>
      <c r="V48" s="134">
        <v>0</v>
      </c>
      <c r="W48" s="134">
        <v>0</v>
      </c>
      <c r="X48" s="134">
        <v>0</v>
      </c>
      <c r="Y48" s="77">
        <f t="shared" si="6"/>
        <v>0</v>
      </c>
    </row>
    <row r="49" spans="2:25" x14ac:dyDescent="0.25">
      <c r="B49" s="84"/>
      <c r="C49" t="s">
        <v>190</v>
      </c>
      <c r="D49" t="str">
        <f>INDEX(Unit_Rates!$C$7:$K$113,MATCH($C49,Unit_Rates!$C$7:$C$113,0),5)</f>
        <v>SCADA/Network control</v>
      </c>
      <c r="E49" t="str">
        <f>INDEX(Unit_Rates!$C$7:$K$113,MATCH($C49,Unit_Rates!$C$7:$C$113,0),6)</f>
        <v>Augmentation</v>
      </c>
      <c r="F49" t="str">
        <f t="shared" si="7"/>
        <v>SCADA/Network controlAugmentation</v>
      </c>
      <c r="G49" s="170">
        <f>INDEX(Unit_Rates!$C$7:$K$113,MATCH($C49,Unit_Rates!$C$7:$C$113,0),7)</f>
        <v>6.2430939226519344</v>
      </c>
      <c r="H49" s="171"/>
      <c r="I49" s="123" t="s">
        <v>294</v>
      </c>
      <c r="J49" s="165"/>
      <c r="K49" s="149">
        <f>G49*H49</f>
        <v>0</v>
      </c>
      <c r="L49" s="149">
        <f t="shared" si="8"/>
        <v>0</v>
      </c>
      <c r="M49" s="151"/>
      <c r="N49" s="448"/>
      <c r="O49" s="448"/>
      <c r="P49" s="449"/>
      <c r="Q49" s="152">
        <f>P49-H49*VLOOKUP(C49,Unit_Rates!$C$103:$E$113,3,FALSE)</f>
        <v>0</v>
      </c>
      <c r="R49" s="134">
        <v>0</v>
      </c>
      <c r="S49" s="134">
        <v>0</v>
      </c>
      <c r="T49" s="134">
        <v>0</v>
      </c>
      <c r="U49" s="134">
        <v>0</v>
      </c>
      <c r="V49" s="134">
        <v>0</v>
      </c>
      <c r="W49" s="134">
        <v>0</v>
      </c>
      <c r="X49" s="134">
        <v>0</v>
      </c>
      <c r="Y49" s="77">
        <f t="shared" si="6"/>
        <v>0</v>
      </c>
    </row>
    <row r="50" spans="2:25" x14ac:dyDescent="0.25">
      <c r="B50" s="84"/>
      <c r="C50" t="s">
        <v>192</v>
      </c>
      <c r="D50" t="str">
        <f>INDEX(Unit_Rates!$C$7:$K$113,MATCH($C50,Unit_Rates!$C$7:$C$113,0),5)</f>
        <v>SCADA/Network control</v>
      </c>
      <c r="E50" t="str">
        <f>INDEX(Unit_Rates!$C$7:$K$113,MATCH($C50,Unit_Rates!$C$7:$C$113,0),6)</f>
        <v>Augmentation</v>
      </c>
      <c r="F50" t="str">
        <f t="shared" si="7"/>
        <v>SCADA/Network controlAugmentation</v>
      </c>
      <c r="G50" s="170">
        <f>INDEX(Unit_Rates!$C$7:$K$113,MATCH($C50,Unit_Rates!$C$7:$C$113,0),7)</f>
        <v>8.6955893186003674</v>
      </c>
      <c r="H50" s="171"/>
      <c r="I50" s="123" t="s">
        <v>294</v>
      </c>
      <c r="J50" s="165"/>
      <c r="K50" s="149">
        <f t="shared" ref="K50:K52" si="9">G50*H50</f>
        <v>0</v>
      </c>
      <c r="L50" s="149">
        <f t="shared" si="8"/>
        <v>0</v>
      </c>
      <c r="M50" s="151"/>
      <c r="N50" s="448"/>
      <c r="O50" s="448"/>
      <c r="P50" s="449"/>
      <c r="Q50" s="152">
        <f>P50-H50*VLOOKUP(C50,Unit_Rates!$C$103:$E$113,3,FALSE)</f>
        <v>0</v>
      </c>
      <c r="R50" s="134">
        <v>0</v>
      </c>
      <c r="S50" s="134">
        <v>0</v>
      </c>
      <c r="T50" s="134">
        <v>0</v>
      </c>
      <c r="U50" s="134">
        <v>0</v>
      </c>
      <c r="V50" s="134">
        <v>0</v>
      </c>
      <c r="W50" s="134">
        <v>0</v>
      </c>
      <c r="X50" s="134">
        <v>0</v>
      </c>
      <c r="Y50" s="77">
        <f t="shared" si="6"/>
        <v>0</v>
      </c>
    </row>
    <row r="51" spans="2:25" x14ac:dyDescent="0.25">
      <c r="B51" s="84"/>
      <c r="C51" t="s">
        <v>193</v>
      </c>
      <c r="D51" t="str">
        <f>INDEX(Unit_Rates!$C$7:$K$113,MATCH($C51,Unit_Rates!$C$7:$C$113,0),5)</f>
        <v>SCADA/Network control</v>
      </c>
      <c r="E51" t="str">
        <f>INDEX(Unit_Rates!$C$7:$K$113,MATCH($C51,Unit_Rates!$C$7:$C$113,0),6)</f>
        <v>Augmentation</v>
      </c>
      <c r="F51" t="str">
        <f t="shared" si="7"/>
        <v>SCADA/Network controlAugmentation</v>
      </c>
      <c r="G51" s="170">
        <f>INDEX(Unit_Rates!$C$7:$K$113,MATCH($C51,Unit_Rates!$C$7:$C$113,0),7)</f>
        <v>98.007730202578273</v>
      </c>
      <c r="H51" s="171"/>
      <c r="I51" s="123" t="s">
        <v>294</v>
      </c>
      <c r="J51" s="165"/>
      <c r="K51" s="149">
        <f t="shared" si="9"/>
        <v>0</v>
      </c>
      <c r="L51" s="149">
        <f t="shared" si="8"/>
        <v>0</v>
      </c>
      <c r="M51" s="151"/>
      <c r="N51" s="448"/>
      <c r="O51" s="448"/>
      <c r="P51" s="449"/>
      <c r="Q51" s="152">
        <f>P51-H51*VLOOKUP(C51,Unit_Rates!$C$103:$E$113,3,FALSE)</f>
        <v>0</v>
      </c>
      <c r="R51" s="134">
        <v>0</v>
      </c>
      <c r="S51" s="134">
        <v>0</v>
      </c>
      <c r="T51" s="134">
        <v>0</v>
      </c>
      <c r="U51" s="134">
        <v>0</v>
      </c>
      <c r="V51" s="134">
        <v>0</v>
      </c>
      <c r="W51" s="134">
        <v>0</v>
      </c>
      <c r="X51" s="134">
        <v>0</v>
      </c>
      <c r="Y51" s="77">
        <f t="shared" si="6"/>
        <v>0</v>
      </c>
    </row>
    <row r="52" spans="2:25" x14ac:dyDescent="0.25">
      <c r="B52" s="84"/>
      <c r="C52" t="s">
        <v>297</v>
      </c>
      <c r="D52" t="s">
        <v>2</v>
      </c>
      <c r="E52" t="s">
        <v>27</v>
      </c>
      <c r="F52" t="s">
        <v>31</v>
      </c>
      <c r="G52" s="184">
        <v>297.298</v>
      </c>
      <c r="H52" s="171">
        <v>1</v>
      </c>
      <c r="I52" s="123" t="s">
        <v>294</v>
      </c>
      <c r="J52" s="165"/>
      <c r="K52" s="149">
        <f t="shared" si="9"/>
        <v>297.298</v>
      </c>
      <c r="L52" s="149">
        <f t="shared" si="8"/>
        <v>0</v>
      </c>
      <c r="M52" s="151"/>
      <c r="N52" s="448"/>
      <c r="O52" s="451"/>
      <c r="P52" s="449"/>
      <c r="Q52" s="152"/>
      <c r="R52" s="134">
        <v>0</v>
      </c>
      <c r="S52" s="134">
        <v>0</v>
      </c>
      <c r="T52" s="134">
        <v>0</v>
      </c>
      <c r="U52" s="134">
        <v>0</v>
      </c>
      <c r="V52" s="134">
        <v>0</v>
      </c>
      <c r="W52" s="134">
        <v>0</v>
      </c>
      <c r="X52" s="134">
        <v>0</v>
      </c>
      <c r="Y52" s="77">
        <f t="shared" si="6"/>
        <v>0</v>
      </c>
    </row>
    <row r="53" spans="2:25" x14ac:dyDescent="0.25">
      <c r="B53" s="84"/>
      <c r="C53" t="s">
        <v>298</v>
      </c>
      <c r="D53" t="s">
        <v>2</v>
      </c>
      <c r="E53" t="s">
        <v>27</v>
      </c>
      <c r="F53" t="str">
        <f t="shared" si="7"/>
        <v>SCADA/Network controlAugmentation</v>
      </c>
      <c r="G53" s="184">
        <v>0</v>
      </c>
      <c r="H53" s="171"/>
      <c r="I53" s="123" t="s">
        <v>294</v>
      </c>
      <c r="J53" s="165"/>
      <c r="K53" s="149">
        <f>G53*H53</f>
        <v>0</v>
      </c>
      <c r="L53" s="149">
        <f t="shared" si="8"/>
        <v>0</v>
      </c>
      <c r="M53" s="151"/>
      <c r="N53" s="448"/>
      <c r="O53" s="451"/>
      <c r="P53" s="449"/>
      <c r="Q53" s="152"/>
      <c r="R53" s="127"/>
      <c r="S53" s="127"/>
      <c r="T53" s="127"/>
      <c r="U53" s="127"/>
      <c r="V53" s="127"/>
      <c r="W53" s="127"/>
      <c r="X53" s="127"/>
      <c r="Y53" s="77">
        <f t="shared" si="6"/>
        <v>0</v>
      </c>
    </row>
    <row r="54" spans="2:25" x14ac:dyDescent="0.25">
      <c r="B54" s="120" t="s">
        <v>299</v>
      </c>
      <c r="D54" t="s">
        <v>3</v>
      </c>
      <c r="E54" t="s">
        <v>27</v>
      </c>
      <c r="F54" t="str">
        <f t="shared" si="7"/>
        <v>SubtransmissionAugmentation</v>
      </c>
      <c r="G54" s="185">
        <v>54.711270796460163</v>
      </c>
      <c r="H54" s="171"/>
      <c r="I54" s="123" t="s">
        <v>294</v>
      </c>
      <c r="J54" s="165"/>
      <c r="K54" s="149">
        <f>G54*H54</f>
        <v>0</v>
      </c>
      <c r="L54" s="149">
        <f t="shared" si="8"/>
        <v>0</v>
      </c>
      <c r="M54" s="151"/>
      <c r="N54" s="448"/>
      <c r="O54" s="451"/>
      <c r="P54" s="449"/>
      <c r="Q54" s="152"/>
      <c r="R54" s="134">
        <v>0</v>
      </c>
      <c r="S54" s="134">
        <v>0</v>
      </c>
      <c r="T54" s="134">
        <v>0</v>
      </c>
      <c r="U54" s="134">
        <v>0</v>
      </c>
      <c r="V54" s="134">
        <v>0</v>
      </c>
      <c r="W54" s="134">
        <v>0</v>
      </c>
      <c r="X54" s="134">
        <v>0</v>
      </c>
    </row>
    <row r="55" spans="2:25" x14ac:dyDescent="0.25">
      <c r="B55" s="120" t="s">
        <v>300</v>
      </c>
      <c r="G55" s="169"/>
      <c r="H55" s="186"/>
      <c r="I55" s="167"/>
      <c r="K55" s="149"/>
      <c r="L55" s="149"/>
      <c r="M55" s="168"/>
      <c r="N55" s="125"/>
      <c r="O55" s="168"/>
      <c r="P55" s="126"/>
      <c r="Q55" s="152"/>
      <c r="R55" s="134">
        <v>0</v>
      </c>
      <c r="S55" s="134">
        <v>0</v>
      </c>
      <c r="T55" s="134">
        <v>0</v>
      </c>
      <c r="U55" s="134">
        <v>0</v>
      </c>
      <c r="V55" s="134">
        <v>0</v>
      </c>
      <c r="W55" s="134">
        <v>0</v>
      </c>
      <c r="X55" s="134">
        <v>0</v>
      </c>
      <c r="Y55" s="77">
        <f t="shared" ref="Y55:Y60" si="10">SUM(R55:X55)</f>
        <v>0</v>
      </c>
    </row>
    <row r="56" spans="2:25" x14ac:dyDescent="0.25">
      <c r="B56" s="84"/>
      <c r="C56" t="s">
        <v>301</v>
      </c>
      <c r="D56" t="s">
        <v>3</v>
      </c>
      <c r="E56" t="s">
        <v>27</v>
      </c>
      <c r="F56" t="str">
        <f t="shared" ref="F56:F60" si="11">D56&amp;E56</f>
        <v>SubtransmissionAugmentation</v>
      </c>
      <c r="G56" s="185">
        <v>0</v>
      </c>
      <c r="H56" s="171"/>
      <c r="I56" s="123" t="s">
        <v>294</v>
      </c>
      <c r="K56" s="149">
        <f>G56*H56</f>
        <v>0</v>
      </c>
      <c r="L56" s="149">
        <f>SUMPRODUCT(R$5:X$5,R56:X56)/Thousands</f>
        <v>0</v>
      </c>
      <c r="M56" s="151"/>
      <c r="N56" s="448"/>
      <c r="O56" s="451"/>
      <c r="P56" s="449"/>
      <c r="Q56" s="152"/>
      <c r="R56" s="134">
        <v>0</v>
      </c>
      <c r="S56" s="134">
        <v>0</v>
      </c>
      <c r="T56" s="134">
        <v>0</v>
      </c>
      <c r="U56" s="134">
        <v>0</v>
      </c>
      <c r="V56" s="134">
        <v>0</v>
      </c>
      <c r="W56" s="134">
        <v>0</v>
      </c>
      <c r="X56" s="134">
        <v>0</v>
      </c>
      <c r="Y56" s="77">
        <f t="shared" si="10"/>
        <v>0</v>
      </c>
    </row>
    <row r="57" spans="2:25" x14ac:dyDescent="0.25">
      <c r="B57" s="84"/>
      <c r="C57" t="s">
        <v>302</v>
      </c>
      <c r="D57" t="str">
        <f>Unit_Rates!G50</f>
        <v>Subtransmission</v>
      </c>
      <c r="E57" t="str">
        <f>Unit_Rates!H50</f>
        <v>Augmentation</v>
      </c>
      <c r="F57" t="str">
        <f t="shared" si="11"/>
        <v>SubtransmissionAugmentation</v>
      </c>
      <c r="G57" s="170">
        <f>Unit_Rates!$I$50</f>
        <v>131.39534883720927</v>
      </c>
      <c r="H57" s="171"/>
      <c r="I57" s="123" t="s">
        <v>294</v>
      </c>
      <c r="K57" s="149">
        <f>G57*H57</f>
        <v>0</v>
      </c>
      <c r="L57" s="149">
        <f>SUMPRODUCT(R$5:X$5,R57:X57)/Thousands</f>
        <v>0</v>
      </c>
      <c r="M57" s="151"/>
      <c r="N57" s="448"/>
      <c r="O57" s="448"/>
      <c r="P57" s="449"/>
      <c r="Q57" s="152">
        <f>P57-H57*VLOOKUP("Oil separator",Unit_Rates!$C$7:$E$51,3,FALSE)</f>
        <v>0</v>
      </c>
      <c r="R57" s="134">
        <v>0</v>
      </c>
      <c r="S57" s="134">
        <v>0</v>
      </c>
      <c r="T57" s="134">
        <v>0</v>
      </c>
      <c r="U57" s="134">
        <v>0</v>
      </c>
      <c r="V57" s="134">
        <v>0</v>
      </c>
      <c r="W57" s="134">
        <v>0</v>
      </c>
      <c r="X57" s="134">
        <v>0</v>
      </c>
      <c r="Y57" s="77">
        <f t="shared" si="10"/>
        <v>0</v>
      </c>
    </row>
    <row r="58" spans="2:25" x14ac:dyDescent="0.25">
      <c r="B58" s="84"/>
      <c r="C58" s="187" t="s">
        <v>303</v>
      </c>
      <c r="D58" t="s">
        <v>3</v>
      </c>
      <c r="E58" t="s">
        <v>27</v>
      </c>
      <c r="F58" t="str">
        <f t="shared" si="11"/>
        <v>SubtransmissionAugmentation</v>
      </c>
      <c r="G58" s="185">
        <v>2.403</v>
      </c>
      <c r="H58" s="171">
        <v>1</v>
      </c>
      <c r="I58" s="123" t="s">
        <v>294</v>
      </c>
      <c r="K58" s="149">
        <f>G58*H58</f>
        <v>2.403</v>
      </c>
      <c r="L58" s="149">
        <f>SUMPRODUCT(R$5:X$5,R58:X58)/Thousands</f>
        <v>0</v>
      </c>
      <c r="M58" s="151"/>
      <c r="N58" s="448"/>
      <c r="O58" s="451"/>
      <c r="P58" s="449"/>
      <c r="Q58" s="152"/>
      <c r="R58" s="134">
        <v>0</v>
      </c>
      <c r="S58" s="134">
        <v>0</v>
      </c>
      <c r="T58" s="134">
        <v>0</v>
      </c>
      <c r="U58" s="134">
        <v>0</v>
      </c>
      <c r="V58" s="134">
        <v>0</v>
      </c>
      <c r="W58" s="134">
        <v>0</v>
      </c>
      <c r="X58" s="134">
        <v>0</v>
      </c>
      <c r="Y58" s="77">
        <f t="shared" si="10"/>
        <v>0</v>
      </c>
    </row>
    <row r="59" spans="2:25" x14ac:dyDescent="0.25">
      <c r="B59" s="120" t="s">
        <v>304</v>
      </c>
      <c r="C59" s="187"/>
      <c r="D59" t="s">
        <v>3</v>
      </c>
      <c r="E59" t="s">
        <v>27</v>
      </c>
      <c r="F59" t="str">
        <f t="shared" si="11"/>
        <v>SubtransmissionAugmentation</v>
      </c>
      <c r="G59" s="170">
        <v>0</v>
      </c>
      <c r="H59" s="171"/>
      <c r="I59" s="123" t="s">
        <v>294</v>
      </c>
      <c r="K59" s="149">
        <f>G59*H59</f>
        <v>0</v>
      </c>
      <c r="L59" s="166">
        <f>SUMPRODUCT(R$5:X$5,R59:X59)/Thousands</f>
        <v>0</v>
      </c>
      <c r="M59" s="188"/>
      <c r="N59" s="448"/>
      <c r="O59" s="446"/>
      <c r="P59" s="449"/>
      <c r="Q59" s="152"/>
      <c r="R59" s="189"/>
      <c r="S59" s="189"/>
      <c r="T59" s="189"/>
      <c r="U59" s="189"/>
      <c r="V59" s="189"/>
      <c r="W59" s="189"/>
      <c r="X59" s="189"/>
      <c r="Y59" s="77"/>
    </row>
    <row r="60" spans="2:25" x14ac:dyDescent="0.25">
      <c r="B60" s="120" t="s">
        <v>305</v>
      </c>
      <c r="D60" t="s">
        <v>4</v>
      </c>
      <c r="E60" t="s">
        <v>29</v>
      </c>
      <c r="F60" t="str">
        <f t="shared" si="11"/>
        <v>LandNon-Network</v>
      </c>
      <c r="G60" s="170">
        <v>0</v>
      </c>
      <c r="H60" s="190"/>
      <c r="I60" s="123" t="s">
        <v>294</v>
      </c>
      <c r="K60" s="166">
        <v>0</v>
      </c>
      <c r="L60" s="166">
        <f>SUMPRODUCT(R$5:X$5,R60:X60)/Thousands</f>
        <v>0</v>
      </c>
      <c r="M60" s="188"/>
      <c r="N60" s="448"/>
      <c r="O60" s="446"/>
      <c r="P60" s="449"/>
      <c r="Q60" s="152"/>
      <c r="R60" s="134">
        <v>0</v>
      </c>
      <c r="S60" s="134">
        <v>0</v>
      </c>
      <c r="T60" s="134">
        <v>0</v>
      </c>
      <c r="U60" s="134">
        <v>0</v>
      </c>
      <c r="V60" s="134">
        <v>0</v>
      </c>
      <c r="W60" s="134">
        <v>0</v>
      </c>
      <c r="X60" s="134">
        <v>0</v>
      </c>
      <c r="Y60" s="77">
        <f t="shared" si="10"/>
        <v>0</v>
      </c>
    </row>
    <row r="61" spans="2:25" x14ac:dyDescent="0.25">
      <c r="B61" s="84"/>
      <c r="G61" s="169"/>
      <c r="H61" s="84"/>
      <c r="I61" s="167"/>
      <c r="K61" s="191"/>
      <c r="L61" s="191"/>
      <c r="M61" s="192"/>
      <c r="N61" s="192"/>
      <c r="O61" s="192"/>
      <c r="P61" s="192"/>
      <c r="X61" s="108"/>
    </row>
    <row r="62" spans="2:25" x14ac:dyDescent="0.25">
      <c r="B62" s="120" t="s">
        <v>306</v>
      </c>
      <c r="G62" s="169"/>
      <c r="H62" s="84"/>
      <c r="I62" s="167"/>
      <c r="K62" s="193">
        <v>1606.0124999999994</v>
      </c>
      <c r="L62" s="193">
        <v>341.78367411670314</v>
      </c>
      <c r="M62" s="194">
        <v>473.23893339235815</v>
      </c>
      <c r="N62" s="194">
        <v>1625.6507828276765</v>
      </c>
      <c r="O62" s="194">
        <v>1.3581835202098926</v>
      </c>
      <c r="P62" s="194">
        <v>4048.0440738569469</v>
      </c>
      <c r="Q62" s="278">
        <f>SUM(P17:P58)</f>
        <v>0</v>
      </c>
      <c r="X62" s="108"/>
    </row>
    <row r="63" spans="2:25" x14ac:dyDescent="0.25">
      <c r="B63" s="195" t="s">
        <v>307</v>
      </c>
      <c r="C63" s="102"/>
      <c r="D63" s="102"/>
      <c r="E63" s="102"/>
      <c r="F63" s="102"/>
      <c r="G63" s="196"/>
      <c r="H63" s="195"/>
      <c r="I63" s="196"/>
      <c r="J63" s="102"/>
      <c r="K63" s="197"/>
      <c r="L63" s="198"/>
      <c r="M63" s="198"/>
      <c r="N63" s="198"/>
      <c r="O63" s="198"/>
      <c r="P63" s="199"/>
      <c r="X63" s="108"/>
    </row>
    <row r="64" spans="2:25" ht="30" x14ac:dyDescent="0.25">
      <c r="B64" s="143" t="s">
        <v>308</v>
      </c>
      <c r="C64" s="117"/>
      <c r="D64" s="117"/>
      <c r="E64" s="117"/>
      <c r="F64" s="117"/>
      <c r="G64" s="200" t="s">
        <v>309</v>
      </c>
      <c r="H64" s="290" t="s">
        <v>279</v>
      </c>
      <c r="I64" s="67" t="s">
        <v>280</v>
      </c>
      <c r="J64" s="102"/>
      <c r="K64" s="67" t="s">
        <v>21</v>
      </c>
      <c r="L64" s="67" t="s">
        <v>22</v>
      </c>
      <c r="M64" s="202" t="s">
        <v>23</v>
      </c>
      <c r="N64" s="202" t="s">
        <v>24</v>
      </c>
      <c r="O64" s="68" t="s">
        <v>25</v>
      </c>
      <c r="P64" s="68" t="s">
        <v>26</v>
      </c>
      <c r="X64" s="108"/>
    </row>
    <row r="65" spans="2:37" x14ac:dyDescent="0.25">
      <c r="B65" s="120"/>
      <c r="G65" s="167"/>
      <c r="H65" s="84"/>
      <c r="I65" s="167"/>
      <c r="K65" s="203"/>
      <c r="L65" s="203"/>
      <c r="M65" s="204"/>
      <c r="N65" s="204"/>
      <c r="O65" s="204"/>
      <c r="P65" s="169"/>
      <c r="X65" s="108"/>
    </row>
    <row r="66" spans="2:37" x14ac:dyDescent="0.25">
      <c r="B66" s="120" t="s">
        <v>310</v>
      </c>
      <c r="G66" s="167"/>
      <c r="H66" s="84"/>
      <c r="I66" s="167"/>
      <c r="K66" s="203"/>
      <c r="L66" s="203"/>
      <c r="M66" s="204"/>
      <c r="N66" s="204"/>
      <c r="O66" s="204"/>
      <c r="P66" s="169"/>
      <c r="X66" s="108"/>
      <c r="Y66" s="77"/>
      <c r="AI66" t="s">
        <v>311</v>
      </c>
    </row>
    <row r="67" spans="2:37" x14ac:dyDescent="0.25">
      <c r="B67" s="120"/>
      <c r="C67" s="108" t="s">
        <v>312</v>
      </c>
      <c r="D67" s="108" t="s">
        <v>92</v>
      </c>
      <c r="E67" s="108" t="s">
        <v>27</v>
      </c>
      <c r="F67" t="s">
        <v>499</v>
      </c>
      <c r="G67" s="170">
        <v>0</v>
      </c>
      <c r="H67" s="205">
        <v>0</v>
      </c>
      <c r="I67" s="167" t="s">
        <v>313</v>
      </c>
      <c r="J67" s="108"/>
      <c r="K67" s="170"/>
      <c r="L67" s="170">
        <f t="shared" ref="L67:L76" si="12">SUMPRODUCT(R$5:X$5,R67:X67)/Thousands</f>
        <v>0</v>
      </c>
      <c r="M67" s="170">
        <v>0</v>
      </c>
      <c r="N67" s="170">
        <v>0</v>
      </c>
      <c r="O67" s="170">
        <v>0</v>
      </c>
      <c r="P67" s="206">
        <f t="shared" ref="P67:P76" si="13">SUM(K67:O67)</f>
        <v>0</v>
      </c>
      <c r="Q67" s="152"/>
      <c r="R67" s="207">
        <f>$AI67*Z67*$H67</f>
        <v>0</v>
      </c>
      <c r="S67" s="207">
        <f t="shared" ref="S67:X76" si="14">$AI67*AA67*$H67</f>
        <v>0</v>
      </c>
      <c r="T67" s="207">
        <f t="shared" si="14"/>
        <v>0</v>
      </c>
      <c r="U67" s="207">
        <f t="shared" si="14"/>
        <v>0</v>
      </c>
      <c r="V67" s="207">
        <f t="shared" si="14"/>
        <v>0</v>
      </c>
      <c r="W67" s="207">
        <f t="shared" si="14"/>
        <v>0</v>
      </c>
      <c r="X67" s="207">
        <f t="shared" si="14"/>
        <v>0</v>
      </c>
      <c r="Y67" s="77">
        <f t="shared" ref="Y67:Y76" si="15">SUM(R67:X67)</f>
        <v>0</v>
      </c>
      <c r="Z67" s="6">
        <v>0.27203065134099613</v>
      </c>
      <c r="AA67" s="6">
        <v>0.72796934865900376</v>
      </c>
      <c r="AB67" s="6">
        <v>0</v>
      </c>
      <c r="AC67" s="6">
        <v>0</v>
      </c>
      <c r="AD67" s="6">
        <v>0</v>
      </c>
      <c r="AE67" s="6">
        <v>0</v>
      </c>
      <c r="AF67" s="6">
        <v>0</v>
      </c>
      <c r="AG67" s="8">
        <f>SUM(Z67:AF67)</f>
        <v>0.99999999999999989</v>
      </c>
      <c r="AH67" t="b">
        <f>AG67=1</f>
        <v>1</v>
      </c>
      <c r="AI67" s="96">
        <v>54.415307635285394</v>
      </c>
    </row>
    <row r="68" spans="2:37" x14ac:dyDescent="0.25">
      <c r="B68" s="120"/>
      <c r="C68" t="s">
        <v>212</v>
      </c>
      <c r="D68" s="108" t="str">
        <f>Unit_Rates!G121</f>
        <v>Distribution system assets</v>
      </c>
      <c r="E68" s="108" t="str">
        <f>Unit_Rates!H121</f>
        <v>Augmentation</v>
      </c>
      <c r="F68" t="str">
        <f t="shared" ref="F68:F76" si="16">D68&amp;E68</f>
        <v>Distribution system assetsAugmentation</v>
      </c>
      <c r="G68" s="446"/>
      <c r="H68" s="205">
        <v>0</v>
      </c>
      <c r="I68" s="167" t="s">
        <v>314</v>
      </c>
      <c r="J68" s="108"/>
      <c r="K68" s="446"/>
      <c r="L68" s="446"/>
      <c r="M68" s="446"/>
      <c r="N68" s="446"/>
      <c r="O68" s="446"/>
      <c r="P68" s="446"/>
      <c r="Q68" s="208">
        <f>P68-H68*Unit_Rates!$E$121</f>
        <v>0</v>
      </c>
      <c r="R68" s="453"/>
      <c r="S68" s="453"/>
      <c r="T68" s="453"/>
      <c r="U68" s="453"/>
      <c r="V68" s="453"/>
      <c r="W68" s="453"/>
      <c r="X68" s="453"/>
      <c r="Y68" s="454"/>
      <c r="Z68" s="6">
        <v>0</v>
      </c>
      <c r="AA68" s="6">
        <v>0.14071351127025331</v>
      </c>
      <c r="AB68" s="6">
        <v>0.24322448098123187</v>
      </c>
      <c r="AC68" s="6">
        <v>0</v>
      </c>
      <c r="AD68" s="6">
        <v>0.1760177164995757</v>
      </c>
      <c r="AE68" s="6">
        <v>0.44004429124893918</v>
      </c>
      <c r="AF68" s="6">
        <v>0</v>
      </c>
      <c r="AG68" s="8">
        <f t="shared" ref="AG68:AG72" si="17">SUM(Z68:AF68)</f>
        <v>1</v>
      </c>
      <c r="AH68" t="b">
        <f t="shared" ref="AH68:AH72" si="18">AG68=1</f>
        <v>1</v>
      </c>
      <c r="AI68" s="455"/>
    </row>
    <row r="69" spans="2:37" x14ac:dyDescent="0.25">
      <c r="B69" s="120"/>
      <c r="C69" t="s">
        <v>214</v>
      </c>
      <c r="D69" s="108" t="str">
        <f>Unit_Rates!G122</f>
        <v>Distribution system assets</v>
      </c>
      <c r="E69" s="108" t="str">
        <f>Unit_Rates!H122</f>
        <v>Augmentation</v>
      </c>
      <c r="F69" t="str">
        <f t="shared" si="16"/>
        <v>Distribution system assetsAugmentation</v>
      </c>
      <c r="G69" s="446"/>
      <c r="H69" s="205">
        <v>0</v>
      </c>
      <c r="I69" s="167" t="s">
        <v>315</v>
      </c>
      <c r="J69" s="108"/>
      <c r="K69" s="446"/>
      <c r="L69" s="446"/>
      <c r="M69" s="446"/>
      <c r="N69" s="446"/>
      <c r="O69" s="446"/>
      <c r="P69" s="446"/>
      <c r="Q69" s="208">
        <f>P69-H69*Unit_Rates!$E$122</f>
        <v>0</v>
      </c>
      <c r="R69" s="453"/>
      <c r="S69" s="453"/>
      <c r="T69" s="453"/>
      <c r="U69" s="453"/>
      <c r="V69" s="453"/>
      <c r="W69" s="453"/>
      <c r="X69" s="453"/>
      <c r="Y69" s="454"/>
      <c r="Z69" s="6">
        <v>0</v>
      </c>
      <c r="AA69" s="6">
        <v>0.11317869701862385</v>
      </c>
      <c r="AB69" s="6">
        <v>0.25101832039696309</v>
      </c>
      <c r="AC69" s="6">
        <v>0</v>
      </c>
      <c r="AD69" s="6">
        <v>0.18165799502411806</v>
      </c>
      <c r="AE69" s="6">
        <v>0.45414498756029509</v>
      </c>
      <c r="AF69" s="6">
        <v>0</v>
      </c>
      <c r="AG69" s="8">
        <f t="shared" si="17"/>
        <v>1</v>
      </c>
      <c r="AH69" t="b">
        <f t="shared" si="18"/>
        <v>1</v>
      </c>
      <c r="AI69" s="455"/>
    </row>
    <row r="70" spans="2:37" x14ac:dyDescent="0.25">
      <c r="B70" s="120"/>
      <c r="C70" t="s">
        <v>216</v>
      </c>
      <c r="D70" s="108" t="str">
        <f>Unit_Rates!G123</f>
        <v>Distribution system assets</v>
      </c>
      <c r="E70" s="108" t="str">
        <f>Unit_Rates!H123</f>
        <v>Augmentation</v>
      </c>
      <c r="F70" t="str">
        <f t="shared" si="16"/>
        <v>Distribution system assetsAugmentation</v>
      </c>
      <c r="G70" s="446"/>
      <c r="H70" s="205">
        <v>0</v>
      </c>
      <c r="I70" s="167" t="s">
        <v>316</v>
      </c>
      <c r="J70" s="108"/>
      <c r="K70" s="446"/>
      <c r="L70" s="446"/>
      <c r="M70" s="446"/>
      <c r="N70" s="446"/>
      <c r="O70" s="446"/>
      <c r="P70" s="446"/>
      <c r="Q70" s="208">
        <f>P70-H70*Unit_Rates!$E$123</f>
        <v>0</v>
      </c>
      <c r="R70" s="453"/>
      <c r="S70" s="453"/>
      <c r="T70" s="453"/>
      <c r="U70" s="453"/>
      <c r="V70" s="453"/>
      <c r="W70" s="453"/>
      <c r="X70" s="453"/>
      <c r="Y70" s="454"/>
      <c r="Z70" s="6">
        <v>0</v>
      </c>
      <c r="AA70" s="6">
        <v>0.17737095137749856</v>
      </c>
      <c r="AB70" s="6">
        <v>0.23284844579258887</v>
      </c>
      <c r="AC70" s="6">
        <v>0</v>
      </c>
      <c r="AD70" s="6">
        <v>0.16850874366568935</v>
      </c>
      <c r="AE70" s="6">
        <v>0.42127185916422333</v>
      </c>
      <c r="AF70" s="6">
        <v>0</v>
      </c>
      <c r="AG70" s="8">
        <f t="shared" si="17"/>
        <v>1</v>
      </c>
      <c r="AH70" t="b">
        <f t="shared" si="18"/>
        <v>1</v>
      </c>
      <c r="AI70" s="455"/>
    </row>
    <row r="71" spans="2:37" x14ac:dyDescent="0.25">
      <c r="B71" s="120"/>
      <c r="C71" t="s">
        <v>218</v>
      </c>
      <c r="D71" s="108" t="str">
        <f>Unit_Rates!G124</f>
        <v>Distribution system assets</v>
      </c>
      <c r="E71" s="108" t="str">
        <f>Unit_Rates!H124</f>
        <v>Augmentation</v>
      </c>
      <c r="F71" t="str">
        <f t="shared" si="16"/>
        <v>Distribution system assetsAugmentation</v>
      </c>
      <c r="G71" s="170">
        <f>Unit_Rates!I124</f>
        <v>18.133609302325581</v>
      </c>
      <c r="H71" s="205">
        <v>0</v>
      </c>
      <c r="I71" s="167" t="s">
        <v>317</v>
      </c>
      <c r="J71" s="108"/>
      <c r="K71" s="170">
        <f t="shared" ref="K71:K76" si="19">G71*H71</f>
        <v>0</v>
      </c>
      <c r="L71" s="170">
        <f t="shared" si="12"/>
        <v>0</v>
      </c>
      <c r="M71" s="170">
        <f>$H71*Unit_Rates!K124</f>
        <v>0</v>
      </c>
      <c r="N71" s="170">
        <f>$H71*Unit_Rates!L124</f>
        <v>0</v>
      </c>
      <c r="O71" s="170">
        <f>$H71*Unit_Rates!M124</f>
        <v>0</v>
      </c>
      <c r="P71" s="206">
        <f t="shared" si="13"/>
        <v>0</v>
      </c>
      <c r="Q71" s="208">
        <f>P71-H71*Unit_Rates!$E$124</f>
        <v>0</v>
      </c>
      <c r="R71" s="207">
        <f t="shared" ref="R71:R76" si="20">$AI71*Z71*$H71</f>
        <v>0</v>
      </c>
      <c r="S71" s="207">
        <f t="shared" si="14"/>
        <v>0</v>
      </c>
      <c r="T71" s="207">
        <f t="shared" si="14"/>
        <v>0</v>
      </c>
      <c r="U71" s="207">
        <f t="shared" si="14"/>
        <v>0</v>
      </c>
      <c r="V71" s="207">
        <f t="shared" si="14"/>
        <v>0</v>
      </c>
      <c r="W71" s="207">
        <f t="shared" si="14"/>
        <v>0</v>
      </c>
      <c r="X71" s="207">
        <f t="shared" si="14"/>
        <v>0</v>
      </c>
      <c r="Y71" s="77">
        <f t="shared" si="15"/>
        <v>0</v>
      </c>
      <c r="Z71" s="6">
        <v>0</v>
      </c>
      <c r="AA71" s="6">
        <v>6.9240660967474346E-2</v>
      </c>
      <c r="AB71" s="6">
        <v>0.26345515741702774</v>
      </c>
      <c r="AC71" s="6">
        <v>0</v>
      </c>
      <c r="AD71" s="6">
        <v>0.19065833760442799</v>
      </c>
      <c r="AE71" s="6">
        <v>0.47664584401106991</v>
      </c>
      <c r="AF71" s="6">
        <v>0</v>
      </c>
      <c r="AG71" s="8">
        <f t="shared" si="17"/>
        <v>1</v>
      </c>
      <c r="AH71" t="b">
        <f t="shared" si="18"/>
        <v>1</v>
      </c>
      <c r="AI71" s="97">
        <v>20.21933327091789</v>
      </c>
    </row>
    <row r="72" spans="2:37" x14ac:dyDescent="0.25">
      <c r="B72" s="120"/>
      <c r="C72" s="108" t="s">
        <v>222</v>
      </c>
      <c r="D72" s="108" t="str">
        <f>Unit_Rates!G125</f>
        <v>Distribution system assets</v>
      </c>
      <c r="E72" s="108" t="str">
        <f>Unit_Rates!H125</f>
        <v>Augmentation</v>
      </c>
      <c r="F72" t="str">
        <f t="shared" si="16"/>
        <v>Distribution system assetsAugmentation</v>
      </c>
      <c r="G72" s="170">
        <f>Unit_Rates!I125</f>
        <v>0</v>
      </c>
      <c r="H72" s="205">
        <v>0</v>
      </c>
      <c r="I72" s="167" t="s">
        <v>313</v>
      </c>
      <c r="J72" s="108"/>
      <c r="K72" s="170">
        <f t="shared" si="19"/>
        <v>0</v>
      </c>
      <c r="L72" s="170">
        <f t="shared" si="12"/>
        <v>0</v>
      </c>
      <c r="M72" s="170">
        <f>$H72*Unit_Rates!K125</f>
        <v>0</v>
      </c>
      <c r="N72" s="170">
        <f>$H72*Unit_Rates!L125</f>
        <v>0</v>
      </c>
      <c r="O72" s="170">
        <f>$H72*Unit_Rates!M125</f>
        <v>0</v>
      </c>
      <c r="P72" s="206">
        <f t="shared" si="13"/>
        <v>0</v>
      </c>
      <c r="Q72" s="208">
        <f>P72-H72*Unit_Rates!$E$125</f>
        <v>0</v>
      </c>
      <c r="R72" s="207">
        <f t="shared" si="20"/>
        <v>0</v>
      </c>
      <c r="S72" s="207">
        <f t="shared" si="14"/>
        <v>0</v>
      </c>
      <c r="T72" s="207">
        <f t="shared" si="14"/>
        <v>0</v>
      </c>
      <c r="U72" s="207">
        <f t="shared" si="14"/>
        <v>0</v>
      </c>
      <c r="V72" s="207">
        <f t="shared" si="14"/>
        <v>0</v>
      </c>
      <c r="W72" s="207">
        <f t="shared" si="14"/>
        <v>0</v>
      </c>
      <c r="X72" s="207">
        <f t="shared" si="14"/>
        <v>0</v>
      </c>
      <c r="Y72" s="77">
        <f t="shared" si="15"/>
        <v>0</v>
      </c>
      <c r="Z72" s="6">
        <v>0</v>
      </c>
      <c r="AA72" s="6">
        <v>0</v>
      </c>
      <c r="AB72" s="6">
        <v>0</v>
      </c>
      <c r="AC72" s="6">
        <v>0</v>
      </c>
      <c r="AD72" s="6">
        <v>0</v>
      </c>
      <c r="AE72" s="6">
        <v>0</v>
      </c>
      <c r="AF72" s="6">
        <v>1</v>
      </c>
      <c r="AG72" s="8">
        <f t="shared" si="17"/>
        <v>1</v>
      </c>
      <c r="AH72" t="b">
        <f t="shared" si="18"/>
        <v>1</v>
      </c>
      <c r="AI72" s="97">
        <v>46.398135736397627</v>
      </c>
    </row>
    <row r="73" spans="2:37" x14ac:dyDescent="0.25">
      <c r="B73" s="120"/>
      <c r="C73" s="209" t="s">
        <v>224</v>
      </c>
      <c r="D73" s="108" t="str">
        <f>Unit_Rates!G126</f>
        <v>Distribution system assets</v>
      </c>
      <c r="E73" s="108" t="str">
        <f>Unit_Rates!H126</f>
        <v>Replacement</v>
      </c>
      <c r="F73" t="str">
        <f t="shared" si="16"/>
        <v>Distribution system assetsReplacement</v>
      </c>
      <c r="G73" s="170">
        <f>Unit_Rates!I126</f>
        <v>0</v>
      </c>
      <c r="H73" s="205">
        <v>0</v>
      </c>
      <c r="I73" s="167" t="s">
        <v>318</v>
      </c>
      <c r="J73" s="108"/>
      <c r="K73" s="170">
        <f t="shared" si="19"/>
        <v>0</v>
      </c>
      <c r="L73" s="170">
        <f t="shared" si="12"/>
        <v>0</v>
      </c>
      <c r="M73" s="170">
        <f>$H73*Unit_Rates!K126</f>
        <v>0</v>
      </c>
      <c r="N73" s="170">
        <f>$H73*Unit_Rates!L126</f>
        <v>0</v>
      </c>
      <c r="O73" s="170">
        <f>$H73*Unit_Rates!M126</f>
        <v>0</v>
      </c>
      <c r="P73" s="206">
        <f t="shared" si="13"/>
        <v>0</v>
      </c>
      <c r="Q73" s="163">
        <f>P73-H73*Unit_Rates!$E126</f>
        <v>0</v>
      </c>
      <c r="R73" s="210"/>
      <c r="S73" s="210"/>
      <c r="T73" s="210"/>
      <c r="U73" s="210"/>
      <c r="V73" s="210"/>
      <c r="W73" s="210"/>
      <c r="X73" s="210"/>
      <c r="Y73" s="77">
        <f t="shared" si="15"/>
        <v>0</v>
      </c>
      <c r="Z73" s="6"/>
      <c r="AA73" s="6"/>
      <c r="AB73" s="6"/>
      <c r="AC73" s="6"/>
      <c r="AD73" s="6"/>
      <c r="AE73" s="6"/>
      <c r="AF73" s="6"/>
      <c r="AI73" s="97">
        <v>0</v>
      </c>
    </row>
    <row r="74" spans="2:37" x14ac:dyDescent="0.25">
      <c r="B74" s="120"/>
      <c r="C74" s="209" t="s">
        <v>226</v>
      </c>
      <c r="D74" s="108" t="str">
        <f>Unit_Rates!G127</f>
        <v>Distribution system assets</v>
      </c>
      <c r="E74" s="108" t="str">
        <f>Unit_Rates!H127</f>
        <v>Replacement</v>
      </c>
      <c r="F74" t="str">
        <f t="shared" si="16"/>
        <v>Distribution system assetsReplacement</v>
      </c>
      <c r="G74" s="170">
        <f>Unit_Rates!I127</f>
        <v>0</v>
      </c>
      <c r="H74" s="205">
        <v>0</v>
      </c>
      <c r="I74" s="167" t="s">
        <v>319</v>
      </c>
      <c r="J74" s="108"/>
      <c r="K74" s="170">
        <f t="shared" si="19"/>
        <v>0</v>
      </c>
      <c r="L74" s="170">
        <f t="shared" si="12"/>
        <v>0</v>
      </c>
      <c r="M74" s="170">
        <f>$H74*Unit_Rates!K127</f>
        <v>0</v>
      </c>
      <c r="N74" s="170">
        <f>$H74*Unit_Rates!L127</f>
        <v>0</v>
      </c>
      <c r="O74" s="170">
        <f>$H74*Unit_Rates!M127</f>
        <v>0</v>
      </c>
      <c r="P74" s="206">
        <f t="shared" ref="P74:P75" si="21">SUM(K74:O74)</f>
        <v>0</v>
      </c>
      <c r="Q74" s="208">
        <f>P74-H74*Unit_Rates!$E127</f>
        <v>0</v>
      </c>
      <c r="R74" s="207">
        <f t="shared" ref="R74:X75" si="22">$AI74*Z74*$H74</f>
        <v>0</v>
      </c>
      <c r="S74" s="207">
        <f t="shared" si="22"/>
        <v>0</v>
      </c>
      <c r="T74" s="207">
        <f t="shared" si="22"/>
        <v>0</v>
      </c>
      <c r="U74" s="207">
        <f t="shared" si="22"/>
        <v>0</v>
      </c>
      <c r="V74" s="207">
        <f t="shared" si="22"/>
        <v>0</v>
      </c>
      <c r="W74" s="207">
        <f t="shared" si="22"/>
        <v>0</v>
      </c>
      <c r="X74" s="207">
        <f t="shared" si="22"/>
        <v>0</v>
      </c>
      <c r="Y74" s="77">
        <f t="shared" si="15"/>
        <v>0</v>
      </c>
      <c r="Z74" s="6">
        <v>0</v>
      </c>
      <c r="AA74" s="6">
        <v>0</v>
      </c>
      <c r="AB74" s="6">
        <v>0</v>
      </c>
      <c r="AC74" s="6">
        <v>0</v>
      </c>
      <c r="AD74" s="6">
        <v>0</v>
      </c>
      <c r="AE74" s="6">
        <v>0</v>
      </c>
      <c r="AF74" s="6">
        <v>1</v>
      </c>
      <c r="AG74" s="8">
        <f>SUM(Z74:AF74)</f>
        <v>1</v>
      </c>
      <c r="AH74" t="b">
        <f>AG74=1</f>
        <v>1</v>
      </c>
      <c r="AI74" s="97">
        <v>1.2068965517241379</v>
      </c>
    </row>
    <row r="75" spans="2:37" x14ac:dyDescent="0.25">
      <c r="B75" s="120"/>
      <c r="C75" s="209" t="s">
        <v>228</v>
      </c>
      <c r="D75" s="108" t="str">
        <f>Unit_Rates!G128</f>
        <v>Distribution system assets</v>
      </c>
      <c r="E75" s="108" t="str">
        <f>Unit_Rates!H128</f>
        <v>Augmentation</v>
      </c>
      <c r="F75" t="str">
        <f t="shared" si="16"/>
        <v>Distribution system assetsAugmentation</v>
      </c>
      <c r="G75" s="170">
        <f>Unit_Rates!I128</f>
        <v>12.429112570356471</v>
      </c>
      <c r="H75" s="205">
        <v>0</v>
      </c>
      <c r="I75" s="167" t="s">
        <v>320</v>
      </c>
      <c r="J75" s="108"/>
      <c r="K75" s="170">
        <f t="shared" si="19"/>
        <v>0</v>
      </c>
      <c r="L75" s="170">
        <f t="shared" si="12"/>
        <v>0</v>
      </c>
      <c r="M75" s="170">
        <f>$H75*Unit_Rates!K128</f>
        <v>0</v>
      </c>
      <c r="N75" s="170">
        <f>$H75*Unit_Rates!L128</f>
        <v>0</v>
      </c>
      <c r="O75" s="170">
        <f>$H75*Unit_Rates!M128</f>
        <v>0</v>
      </c>
      <c r="P75" s="206">
        <f t="shared" si="21"/>
        <v>0</v>
      </c>
      <c r="Q75" s="163">
        <f>P75-H75*Unit_Rates!$E128</f>
        <v>0</v>
      </c>
      <c r="R75" s="207">
        <f t="shared" si="22"/>
        <v>0</v>
      </c>
      <c r="S75" s="207">
        <f t="shared" si="22"/>
        <v>0</v>
      </c>
      <c r="T75" s="207">
        <f t="shared" si="22"/>
        <v>0</v>
      </c>
      <c r="U75" s="207">
        <f t="shared" si="22"/>
        <v>0</v>
      </c>
      <c r="V75" s="207">
        <f t="shared" si="22"/>
        <v>0</v>
      </c>
      <c r="W75" s="207">
        <f t="shared" si="22"/>
        <v>0</v>
      </c>
      <c r="X75" s="207">
        <f t="shared" si="22"/>
        <v>0</v>
      </c>
      <c r="Y75" s="77">
        <f t="shared" si="15"/>
        <v>0</v>
      </c>
      <c r="Z75" s="6">
        <v>0</v>
      </c>
      <c r="AA75" s="6">
        <v>0</v>
      </c>
      <c r="AB75" s="6">
        <v>0</v>
      </c>
      <c r="AC75" s="6">
        <v>0</v>
      </c>
      <c r="AD75" s="6">
        <v>0</v>
      </c>
      <c r="AE75" s="6">
        <v>0</v>
      </c>
      <c r="AF75" s="6">
        <v>1</v>
      </c>
      <c r="AG75" s="8">
        <f>SUM(Z75:AF75)</f>
        <v>1</v>
      </c>
      <c r="AH75" t="b">
        <f>AG75=1</f>
        <v>1</v>
      </c>
      <c r="AI75" s="97">
        <v>23.021816563138394</v>
      </c>
    </row>
    <row r="76" spans="2:37" x14ac:dyDescent="0.25">
      <c r="B76" s="120"/>
      <c r="C76" s="209" t="s">
        <v>230</v>
      </c>
      <c r="D76" s="108" t="str">
        <f>Unit_Rates!G129</f>
        <v>Distribution system assets</v>
      </c>
      <c r="E76" s="108" t="str">
        <f>Unit_Rates!H129</f>
        <v>Augmentation</v>
      </c>
      <c r="F76" t="str">
        <f t="shared" si="16"/>
        <v>Distribution system assetsAugmentation</v>
      </c>
      <c r="G76" s="170">
        <f>Unit_Rates!I129</f>
        <v>22.603922249219018</v>
      </c>
      <c r="H76" s="205">
        <v>0</v>
      </c>
      <c r="I76" s="167" t="s">
        <v>321</v>
      </c>
      <c r="J76" s="108"/>
      <c r="K76" s="211">
        <f t="shared" si="19"/>
        <v>0</v>
      </c>
      <c r="L76" s="211">
        <f t="shared" si="12"/>
        <v>0</v>
      </c>
      <c r="M76" s="211">
        <f>$H76*Unit_Rates!K129</f>
        <v>0</v>
      </c>
      <c r="N76" s="211">
        <f>$H76*Unit_Rates!L129</f>
        <v>0</v>
      </c>
      <c r="O76" s="211">
        <f>$H76*Unit_Rates!M129</f>
        <v>0</v>
      </c>
      <c r="P76" s="192">
        <f t="shared" si="13"/>
        <v>0</v>
      </c>
      <c r="Q76" s="163">
        <f>P76-H76*Unit_Rates!$E129</f>
        <v>0</v>
      </c>
      <c r="R76" s="207">
        <f t="shared" si="20"/>
        <v>0</v>
      </c>
      <c r="S76" s="207">
        <f t="shared" si="14"/>
        <v>0</v>
      </c>
      <c r="T76" s="207">
        <f t="shared" si="14"/>
        <v>0</v>
      </c>
      <c r="U76" s="207">
        <f t="shared" si="14"/>
        <v>0</v>
      </c>
      <c r="V76" s="207">
        <f t="shared" si="14"/>
        <v>0</v>
      </c>
      <c r="W76" s="207">
        <f t="shared" si="14"/>
        <v>0</v>
      </c>
      <c r="X76" s="207">
        <f t="shared" si="14"/>
        <v>0</v>
      </c>
      <c r="Y76" s="77">
        <f t="shared" si="15"/>
        <v>0</v>
      </c>
      <c r="Z76" s="6">
        <v>0.30314923274650013</v>
      </c>
      <c r="AA76" s="6">
        <v>0.32449777026385929</v>
      </c>
      <c r="AB76" s="6">
        <v>0.37235299698964064</v>
      </c>
      <c r="AC76" s="6">
        <v>0</v>
      </c>
      <c r="AD76" s="6">
        <v>0</v>
      </c>
      <c r="AE76" s="6">
        <v>0</v>
      </c>
      <c r="AF76" s="6">
        <v>0</v>
      </c>
      <c r="AG76" s="8">
        <f t="shared" ref="AG76" si="23">SUM(Z76:AF76)</f>
        <v>1</v>
      </c>
      <c r="AH76" t="b">
        <f t="shared" ref="AH76" si="24">AG76=1</f>
        <v>1</v>
      </c>
      <c r="AI76" s="97">
        <v>42.965971070585908</v>
      </c>
    </row>
    <row r="77" spans="2:37" x14ac:dyDescent="0.25">
      <c r="B77" s="120"/>
      <c r="C77" t="s">
        <v>322</v>
      </c>
      <c r="G77" s="212"/>
      <c r="H77" s="122"/>
      <c r="I77" s="167"/>
      <c r="K77" s="212">
        <v>0</v>
      </c>
      <c r="L77" s="212">
        <v>0</v>
      </c>
      <c r="M77" s="170">
        <v>0</v>
      </c>
      <c r="N77" s="170">
        <v>0</v>
      </c>
      <c r="O77" s="170">
        <v>0</v>
      </c>
      <c r="P77" s="170">
        <v>0</v>
      </c>
      <c r="Q77" s="163"/>
      <c r="R77" s="127"/>
      <c r="S77" s="127"/>
      <c r="T77" s="127"/>
      <c r="U77" s="127"/>
      <c r="V77" s="127"/>
      <c r="W77" s="127"/>
      <c r="X77" s="127"/>
      <c r="AI77" s="97"/>
    </row>
    <row r="78" spans="2:37" x14ac:dyDescent="0.25">
      <c r="B78" s="120" t="s">
        <v>260</v>
      </c>
      <c r="G78" s="166"/>
      <c r="H78" s="122"/>
      <c r="I78" s="167"/>
      <c r="K78" s="212"/>
      <c r="L78" s="212"/>
      <c r="M78" s="170"/>
      <c r="N78" s="170"/>
      <c r="O78" s="170"/>
      <c r="P78" s="206"/>
      <c r="R78" s="127"/>
      <c r="S78" s="127"/>
      <c r="T78" s="127"/>
      <c r="U78" s="127"/>
      <c r="V78" s="127"/>
      <c r="W78" s="127"/>
      <c r="X78" s="127"/>
      <c r="Y78" s="77"/>
      <c r="AI78" s="97"/>
    </row>
    <row r="79" spans="2:37" x14ac:dyDescent="0.25">
      <c r="B79" s="120"/>
      <c r="C79" t="s">
        <v>323</v>
      </c>
      <c r="D79" t="str">
        <f>Unit_Rates!G137</f>
        <v>Distribution system assets</v>
      </c>
      <c r="E79" t="str">
        <f>Unit_Rates!H137</f>
        <v>Replacement</v>
      </c>
      <c r="F79" t="str">
        <f>D79&amp;E79</f>
        <v>Distribution system assetsReplacement</v>
      </c>
      <c r="G79" s="166">
        <f>Unit_Rates!I137</f>
        <v>0.37850311702696687</v>
      </c>
      <c r="H79" s="213">
        <v>0</v>
      </c>
      <c r="I79" s="123" t="s">
        <v>294</v>
      </c>
      <c r="K79" s="212">
        <f>G79*H79</f>
        <v>0</v>
      </c>
      <c r="L79" s="212">
        <f>SUMPRODUCT(R$5:X$5,R79:X79)/Thousands</f>
        <v>0</v>
      </c>
      <c r="M79" s="170">
        <f>$H79*Unit_Rates!K137</f>
        <v>0</v>
      </c>
      <c r="N79" s="170">
        <f>$H79*Unit_Rates!L137</f>
        <v>0</v>
      </c>
      <c r="O79" s="170">
        <f>$H79*Unit_Rates!M137</f>
        <v>0</v>
      </c>
      <c r="P79" s="206">
        <f>SUM(K79:O79)</f>
        <v>0</v>
      </c>
      <c r="Q79" s="152">
        <f>P79-H79*Unit_Rates!$E$137</f>
        <v>0</v>
      </c>
      <c r="R79" s="207">
        <f t="shared" ref="R79:X81" si="25">$AI79*Z79*$H79</f>
        <v>0</v>
      </c>
      <c r="S79" s="207">
        <f t="shared" si="25"/>
        <v>0</v>
      </c>
      <c r="T79" s="207">
        <f t="shared" si="25"/>
        <v>0</v>
      </c>
      <c r="U79" s="207">
        <f t="shared" si="25"/>
        <v>0</v>
      </c>
      <c r="V79" s="207">
        <f t="shared" si="25"/>
        <v>0</v>
      </c>
      <c r="W79" s="207">
        <f t="shared" si="25"/>
        <v>0</v>
      </c>
      <c r="X79" s="207">
        <f t="shared" si="25"/>
        <v>0</v>
      </c>
      <c r="Y79" s="77">
        <f t="shared" ref="Y79:Y83" si="26">SUM(R79:X79)</f>
        <v>0</v>
      </c>
      <c r="Z79" s="6">
        <v>2.5727805595989302E-2</v>
      </c>
      <c r="AA79" s="6">
        <v>0</v>
      </c>
      <c r="AB79" s="6">
        <v>0.32115728206047139</v>
      </c>
      <c r="AC79" s="6">
        <v>0</v>
      </c>
      <c r="AD79" s="6">
        <v>0</v>
      </c>
      <c r="AE79" s="6">
        <v>0</v>
      </c>
      <c r="AF79" s="6">
        <v>0.65311491234353936</v>
      </c>
      <c r="AG79" s="8">
        <f>SUM(Z79:AF79)</f>
        <v>1</v>
      </c>
      <c r="AH79" t="b">
        <f>AG79=1</f>
        <v>1</v>
      </c>
      <c r="AI79" s="97">
        <v>1.08</v>
      </c>
    </row>
    <row r="80" spans="2:37" x14ac:dyDescent="0.25">
      <c r="B80" s="120"/>
      <c r="C80" t="s">
        <v>238</v>
      </c>
      <c r="D80" t="str">
        <f>Unit_Rates!G138</f>
        <v>Distribution system assets</v>
      </c>
      <c r="E80" t="str">
        <f>Unit_Rates!H138</f>
        <v>Replacement</v>
      </c>
      <c r="F80" t="str">
        <f t="shared" ref="F80:F83" si="27">D80&amp;E80</f>
        <v>Distribution system assetsReplacement</v>
      </c>
      <c r="G80" s="212">
        <f>INDEX(Unit_Rates!$C$136:$K$141,MATCH($C80,Unit_Rates!$D$136:$D$141,0),7)</f>
        <v>0</v>
      </c>
      <c r="H80" s="213">
        <v>0</v>
      </c>
      <c r="I80" s="123" t="s">
        <v>294</v>
      </c>
      <c r="K80" s="212">
        <f>G80*H80</f>
        <v>0</v>
      </c>
      <c r="L80" s="212">
        <f>SUMPRODUCT(R$5:X$5,R80:X80)/Thousands</f>
        <v>0</v>
      </c>
      <c r="M80" s="170">
        <f>$H80*Unit_Rates!K140</f>
        <v>0</v>
      </c>
      <c r="N80" s="170">
        <f>$H80*Unit_Rates!$L$138</f>
        <v>0</v>
      </c>
      <c r="O80" s="170">
        <f>$H80*Unit_Rates!M140</f>
        <v>0</v>
      </c>
      <c r="P80" s="206">
        <f>SUM(K80:O80)</f>
        <v>0</v>
      </c>
      <c r="Q80" s="208">
        <f>P80-H80*Unit_Rates!$E$138</f>
        <v>0</v>
      </c>
      <c r="R80" s="207">
        <f t="shared" si="25"/>
        <v>0</v>
      </c>
      <c r="S80" s="207">
        <f t="shared" si="25"/>
        <v>0</v>
      </c>
      <c r="T80" s="207">
        <f t="shared" si="25"/>
        <v>0</v>
      </c>
      <c r="U80" s="207">
        <f t="shared" si="25"/>
        <v>0</v>
      </c>
      <c r="V80" s="207">
        <f t="shared" si="25"/>
        <v>0</v>
      </c>
      <c r="W80" s="207">
        <f t="shared" si="25"/>
        <v>0</v>
      </c>
      <c r="X80" s="207">
        <f t="shared" si="25"/>
        <v>0</v>
      </c>
      <c r="Y80" s="77">
        <f t="shared" si="26"/>
        <v>0</v>
      </c>
      <c r="Z80" s="6"/>
      <c r="AA80" s="6"/>
      <c r="AB80" s="6"/>
      <c r="AC80" s="6"/>
      <c r="AD80" s="6">
        <v>1</v>
      </c>
      <c r="AE80" s="6"/>
      <c r="AF80" s="6"/>
      <c r="AG80" s="8">
        <f>SUM(Z80:AF80)</f>
        <v>1</v>
      </c>
      <c r="AH80" t="b">
        <f>AG80=1</f>
        <v>1</v>
      </c>
      <c r="AI80" s="97">
        <v>1.8482467232626396</v>
      </c>
      <c r="AK80" s="274"/>
    </row>
    <row r="81" spans="2:37" x14ac:dyDescent="0.25">
      <c r="B81" s="120"/>
      <c r="C81" t="s">
        <v>239</v>
      </c>
      <c r="D81" t="str">
        <f>Unit_Rates!G139</f>
        <v>Distribution system assets</v>
      </c>
      <c r="E81" t="str">
        <f>Unit_Rates!H139</f>
        <v>Replacement</v>
      </c>
      <c r="F81" t="str">
        <f t="shared" si="27"/>
        <v>Distribution system assetsReplacement</v>
      </c>
      <c r="G81" s="212">
        <f>INDEX(Unit_Rates!$C$136:$K$141,MATCH($C81,Unit_Rates!$D$136:$D$141,0),7)</f>
        <v>0</v>
      </c>
      <c r="H81" s="213">
        <v>0</v>
      </c>
      <c r="I81" s="123" t="s">
        <v>294</v>
      </c>
      <c r="K81" s="212">
        <f t="shared" ref="K81:K83" si="28">G81*H81</f>
        <v>0</v>
      </c>
      <c r="L81" s="212">
        <f>SUMPRODUCT(R$5:X$5,R81:X81)/Thousands</f>
        <v>0</v>
      </c>
      <c r="M81" s="170"/>
      <c r="N81" s="170">
        <f>$H81*Unit_Rates!$L$139</f>
        <v>0</v>
      </c>
      <c r="O81" s="170"/>
      <c r="P81" s="206">
        <f t="shared" ref="P81:P83" si="29">SUM(K81:O81)</f>
        <v>0</v>
      </c>
      <c r="Q81" s="208">
        <f>P81-H81*Unit_Rates!$E$139</f>
        <v>0</v>
      </c>
      <c r="R81" s="207">
        <f t="shared" si="25"/>
        <v>0</v>
      </c>
      <c r="S81" s="207">
        <f t="shared" si="25"/>
        <v>0</v>
      </c>
      <c r="T81" s="207">
        <f t="shared" si="25"/>
        <v>0</v>
      </c>
      <c r="U81" s="207">
        <f t="shared" si="25"/>
        <v>0</v>
      </c>
      <c r="V81" s="207">
        <f t="shared" si="25"/>
        <v>0</v>
      </c>
      <c r="W81" s="207">
        <f t="shared" si="25"/>
        <v>0</v>
      </c>
      <c r="X81" s="207">
        <f t="shared" si="25"/>
        <v>0</v>
      </c>
      <c r="Y81" s="77">
        <f t="shared" si="26"/>
        <v>0</v>
      </c>
      <c r="Z81" s="6"/>
      <c r="AA81" s="6"/>
      <c r="AB81" s="6"/>
      <c r="AC81" s="6"/>
      <c r="AD81" s="6">
        <v>1</v>
      </c>
      <c r="AE81" s="6"/>
      <c r="AF81" s="6"/>
      <c r="AG81" s="8">
        <f>SUM(Z81:AF81)</f>
        <v>1</v>
      </c>
      <c r="AH81" t="b">
        <f>AG81=1</f>
        <v>1</v>
      </c>
      <c r="AI81" s="97">
        <v>61.608224108754577</v>
      </c>
      <c r="AK81" s="274"/>
    </row>
    <row r="82" spans="2:37" x14ac:dyDescent="0.25">
      <c r="B82" s="120"/>
      <c r="C82" t="s">
        <v>240</v>
      </c>
      <c r="D82" t="str">
        <f>Unit_Rates!G140</f>
        <v>Distribution system assets</v>
      </c>
      <c r="E82" t="str">
        <f>Unit_Rates!H140</f>
        <v>Replacement</v>
      </c>
      <c r="F82" t="str">
        <f t="shared" si="27"/>
        <v>Distribution system assetsReplacement</v>
      </c>
      <c r="G82" s="212">
        <f>INDEX(Unit_Rates!$C$136:$K$141,MATCH($C82,Unit_Rates!$D$136:$D$141,0),7)</f>
        <v>5.2025782688766116</v>
      </c>
      <c r="H82" s="213">
        <v>0</v>
      </c>
      <c r="I82" s="123" t="s">
        <v>294</v>
      </c>
      <c r="K82" s="212">
        <f t="shared" si="28"/>
        <v>0</v>
      </c>
      <c r="L82" s="212">
        <f>SUMPRODUCT(R$5:X$5,R82:X82)/Thousands</f>
        <v>0</v>
      </c>
      <c r="M82" s="170"/>
      <c r="N82" s="170">
        <f>$H82*Unit_Rates!$L$140</f>
        <v>0</v>
      </c>
      <c r="O82" s="170"/>
      <c r="P82" s="206">
        <f t="shared" si="29"/>
        <v>0</v>
      </c>
      <c r="Q82" s="163">
        <f>P82-H82*Unit_Rates!$E$140</f>
        <v>0</v>
      </c>
      <c r="R82" s="210"/>
      <c r="S82" s="210"/>
      <c r="T82" s="210"/>
      <c r="U82" s="210"/>
      <c r="V82" s="210"/>
      <c r="W82" s="210"/>
      <c r="X82" s="210"/>
      <c r="Y82" s="77">
        <f t="shared" si="26"/>
        <v>0</v>
      </c>
      <c r="Z82" s="6"/>
      <c r="AA82" s="6"/>
      <c r="AB82" s="6"/>
      <c r="AC82" s="6"/>
      <c r="AD82" s="6"/>
      <c r="AE82" s="6"/>
      <c r="AF82" s="6"/>
      <c r="AG82" s="8"/>
      <c r="AI82" s="97"/>
      <c r="AK82" s="274"/>
    </row>
    <row r="83" spans="2:37" x14ac:dyDescent="0.25">
      <c r="B83" s="120"/>
      <c r="C83" t="s">
        <v>241</v>
      </c>
      <c r="D83" t="str">
        <f>Unit_Rates!G141</f>
        <v>Distribution system assets</v>
      </c>
      <c r="E83" t="str">
        <f>Unit_Rates!H141</f>
        <v>Replacement</v>
      </c>
      <c r="F83" t="str">
        <f t="shared" si="27"/>
        <v>Distribution system assetsReplacement</v>
      </c>
      <c r="G83" s="212">
        <f>INDEX(Unit_Rates!$C$136:$K$141,MATCH($C83,Unit_Rates!$D$136:$D$141,0),7)</f>
        <v>4.9999999999999996E-2</v>
      </c>
      <c r="H83" s="213">
        <v>0</v>
      </c>
      <c r="I83" s="123" t="s">
        <v>324</v>
      </c>
      <c r="K83" s="212">
        <f t="shared" si="28"/>
        <v>0</v>
      </c>
      <c r="L83" s="212">
        <f>SUMPRODUCT(R$5:X$5,R83:X83)/Thousands</f>
        <v>0</v>
      </c>
      <c r="M83" s="170"/>
      <c r="N83" s="170">
        <f>$H83*Unit_Rates!$L$141</f>
        <v>0</v>
      </c>
      <c r="O83" s="170"/>
      <c r="P83" s="206">
        <f t="shared" si="29"/>
        <v>0</v>
      </c>
      <c r="Q83" s="163">
        <f>P83-H83*Unit_Rates!$E$141</f>
        <v>0</v>
      </c>
      <c r="R83" s="210"/>
      <c r="S83" s="210"/>
      <c r="T83" s="210"/>
      <c r="U83" s="210"/>
      <c r="V83" s="210"/>
      <c r="W83" s="210"/>
      <c r="X83" s="210"/>
      <c r="Y83" s="77">
        <f t="shared" si="26"/>
        <v>0</v>
      </c>
      <c r="Z83" s="6"/>
      <c r="AA83" s="6"/>
      <c r="AB83" s="6"/>
      <c r="AC83" s="6"/>
      <c r="AD83" s="6"/>
      <c r="AE83" s="6"/>
      <c r="AF83" s="6"/>
      <c r="AG83" s="8"/>
      <c r="AI83" s="97"/>
      <c r="AK83" s="275"/>
    </row>
    <row r="84" spans="2:37" x14ac:dyDescent="0.25">
      <c r="B84" s="120" t="s">
        <v>325</v>
      </c>
      <c r="G84" s="166"/>
      <c r="H84" s="122"/>
      <c r="I84" s="167"/>
      <c r="K84" s="212"/>
      <c r="L84" s="212"/>
      <c r="M84" s="170"/>
      <c r="N84" s="170"/>
      <c r="O84" s="170"/>
      <c r="P84" s="206"/>
      <c r="R84" s="164"/>
      <c r="S84" s="127"/>
      <c r="T84" s="127"/>
      <c r="U84" s="127"/>
      <c r="V84" s="127"/>
      <c r="W84" s="127"/>
      <c r="X84" s="127"/>
      <c r="Y84" s="77"/>
      <c r="Z84" s="6"/>
      <c r="AA84" s="6"/>
      <c r="AB84" s="6"/>
      <c r="AC84" s="6"/>
      <c r="AD84" s="6"/>
      <c r="AE84" s="6"/>
      <c r="AF84" s="6"/>
      <c r="AI84" s="97"/>
      <c r="AK84" s="275"/>
    </row>
    <row r="85" spans="2:37" x14ac:dyDescent="0.25">
      <c r="B85" s="120"/>
      <c r="C85" t="s">
        <v>245</v>
      </c>
      <c r="D85" t="str">
        <f>Unit_Rates!G147</f>
        <v>Distribution system assets</v>
      </c>
      <c r="E85" t="str">
        <f>Unit_Rates!H147</f>
        <v>Replacement</v>
      </c>
      <c r="F85" t="str">
        <f t="shared" ref="F85:F88" si="30">D85&amp;E85</f>
        <v>Distribution system assetsReplacement</v>
      </c>
      <c r="G85" s="166">
        <f>Unit_Rates!I147</f>
        <v>14.999999999999996</v>
      </c>
      <c r="H85" s="215">
        <v>0</v>
      </c>
      <c r="I85" s="123" t="s">
        <v>294</v>
      </c>
      <c r="K85" s="212">
        <f>G85*H85</f>
        <v>0</v>
      </c>
      <c r="L85" s="212">
        <f>SUMPRODUCT(R$5:X$5,R85:X85)/Thousands</f>
        <v>0</v>
      </c>
      <c r="M85" s="170">
        <f>$H85*Unit_Rates!K147</f>
        <v>0</v>
      </c>
      <c r="N85" s="170">
        <f>$H85*Unit_Rates!L147</f>
        <v>0</v>
      </c>
      <c r="O85" s="170">
        <f>$H85*Unit_Rates!M147</f>
        <v>0</v>
      </c>
      <c r="P85" s="206">
        <f>SUM(K85:O85)</f>
        <v>0</v>
      </c>
      <c r="Q85" s="152">
        <f>P85-(H85*Unit_Rates!$E$147)</f>
        <v>0</v>
      </c>
      <c r="R85" s="207">
        <f t="shared" ref="R85:X88" si="31">$AI85*Z85*$H85</f>
        <v>0</v>
      </c>
      <c r="S85" s="207">
        <f t="shared" si="31"/>
        <v>0</v>
      </c>
      <c r="T85" s="207">
        <f t="shared" si="31"/>
        <v>0</v>
      </c>
      <c r="U85" s="207">
        <f t="shared" si="31"/>
        <v>0</v>
      </c>
      <c r="V85" s="207">
        <f t="shared" si="31"/>
        <v>0</v>
      </c>
      <c r="W85" s="207">
        <f t="shared" si="31"/>
        <v>0</v>
      </c>
      <c r="X85" s="207">
        <f t="shared" si="31"/>
        <v>0</v>
      </c>
      <c r="Y85" s="77">
        <f t="shared" ref="Y85:Y93" si="32">SUM(R85:X85)</f>
        <v>0</v>
      </c>
      <c r="Z85" s="6">
        <v>0.30314923274650013</v>
      </c>
      <c r="AA85" s="6">
        <v>0.32449777026385929</v>
      </c>
      <c r="AB85" s="6">
        <v>0.37235299698964058</v>
      </c>
      <c r="AC85" s="6">
        <v>0</v>
      </c>
      <c r="AD85" s="6">
        <v>0</v>
      </c>
      <c r="AE85" s="6">
        <v>0</v>
      </c>
      <c r="AF85" s="6">
        <v>0</v>
      </c>
      <c r="AG85" s="8">
        <f t="shared" ref="AG85:AG88" si="33">SUM(Z85:AF85)</f>
        <v>1</v>
      </c>
      <c r="AH85" t="b">
        <f t="shared" ref="AH85:AH93" si="34">AG85=1</f>
        <v>1</v>
      </c>
      <c r="AI85" s="97">
        <v>14.420000000000002</v>
      </c>
      <c r="AK85" s="275"/>
    </row>
    <row r="86" spans="2:37" x14ac:dyDescent="0.25">
      <c r="B86" s="120"/>
      <c r="C86" t="s">
        <v>247</v>
      </c>
      <c r="D86" t="str">
        <f>Unit_Rates!G148</f>
        <v>Distribution system assets</v>
      </c>
      <c r="E86" t="str">
        <f>Unit_Rates!H148</f>
        <v>Replacement</v>
      </c>
      <c r="F86" t="str">
        <f t="shared" si="30"/>
        <v>Distribution system assetsReplacement</v>
      </c>
      <c r="G86" s="166">
        <f>Unit_Rates!I148</f>
        <v>22.603922249219018</v>
      </c>
      <c r="H86" s="215">
        <v>0</v>
      </c>
      <c r="I86" s="123" t="s">
        <v>294</v>
      </c>
      <c r="K86" s="212">
        <f>G86*H86</f>
        <v>0</v>
      </c>
      <c r="L86" s="212">
        <f>SUMPRODUCT(R$5:X$5,R86:X86)/Thousands</f>
        <v>0</v>
      </c>
      <c r="M86" s="170">
        <f>$H86*Unit_Rates!K148</f>
        <v>0</v>
      </c>
      <c r="N86" s="170">
        <f>$H86*Unit_Rates!L148</f>
        <v>0</v>
      </c>
      <c r="O86" s="170">
        <f>$H86*Unit_Rates!M148</f>
        <v>0</v>
      </c>
      <c r="P86" s="206">
        <f>SUM(K86:O86)</f>
        <v>0</v>
      </c>
      <c r="Q86" s="152">
        <f>P86-(H86*Unit_Rates!$E$148)</f>
        <v>0</v>
      </c>
      <c r="R86" s="207">
        <f t="shared" si="31"/>
        <v>0</v>
      </c>
      <c r="S86" s="207">
        <f t="shared" si="31"/>
        <v>0</v>
      </c>
      <c r="T86" s="207">
        <f t="shared" si="31"/>
        <v>0</v>
      </c>
      <c r="U86" s="207">
        <f t="shared" si="31"/>
        <v>0</v>
      </c>
      <c r="V86" s="207">
        <f t="shared" si="31"/>
        <v>0</v>
      </c>
      <c r="W86" s="207">
        <f t="shared" si="31"/>
        <v>0</v>
      </c>
      <c r="X86" s="207">
        <f t="shared" si="31"/>
        <v>0</v>
      </c>
      <c r="Y86" s="77">
        <f t="shared" si="32"/>
        <v>0</v>
      </c>
      <c r="Z86" s="6">
        <v>0.30314923274650013</v>
      </c>
      <c r="AA86" s="6">
        <v>0.32449777026385929</v>
      </c>
      <c r="AB86" s="6">
        <v>0.37235299698964064</v>
      </c>
      <c r="AC86" s="6">
        <v>0</v>
      </c>
      <c r="AD86" s="6">
        <v>0</v>
      </c>
      <c r="AE86" s="6">
        <v>0</v>
      </c>
      <c r="AF86" s="6">
        <v>0</v>
      </c>
      <c r="AG86" s="8">
        <f t="shared" si="33"/>
        <v>1</v>
      </c>
      <c r="AH86" t="b">
        <f t="shared" si="34"/>
        <v>1</v>
      </c>
      <c r="AI86" s="97">
        <v>42.965971070585908</v>
      </c>
      <c r="AK86" s="275"/>
    </row>
    <row r="87" spans="2:37" x14ac:dyDescent="0.25">
      <c r="B87" s="120"/>
      <c r="C87" t="s">
        <v>249</v>
      </c>
      <c r="D87" t="str">
        <f>Unit_Rates!G150</f>
        <v>Distribution system assets</v>
      </c>
      <c r="E87" t="str">
        <f>Unit_Rates!H150</f>
        <v>Replacement</v>
      </c>
      <c r="F87" t="str">
        <f t="shared" si="30"/>
        <v>Distribution system assetsReplacement</v>
      </c>
      <c r="G87" s="166">
        <f>Unit_Rates!I150</f>
        <v>15.156015503875969</v>
      </c>
      <c r="H87" s="215">
        <v>0</v>
      </c>
      <c r="I87" s="123" t="s">
        <v>294</v>
      </c>
      <c r="K87" s="212">
        <f>G87*H87</f>
        <v>0</v>
      </c>
      <c r="L87" s="212">
        <f>SUMPRODUCT(R$5:X$5,R87:X87)/Thousands</f>
        <v>0</v>
      </c>
      <c r="M87" s="170">
        <f>$H87*Unit_Rates!K150</f>
        <v>0</v>
      </c>
      <c r="N87" s="170">
        <f>$H87*Unit_Rates!L150</f>
        <v>0</v>
      </c>
      <c r="O87" s="170">
        <f>$H87*Unit_Rates!M150</f>
        <v>0</v>
      </c>
      <c r="P87" s="206">
        <f>SUM(K87:O87)</f>
        <v>0</v>
      </c>
      <c r="Q87" s="152">
        <f>P87-(H87*Unit_Rates!$E$150)</f>
        <v>0</v>
      </c>
      <c r="R87" s="207">
        <f t="shared" si="31"/>
        <v>0</v>
      </c>
      <c r="S87" s="207">
        <f t="shared" si="31"/>
        <v>0</v>
      </c>
      <c r="T87" s="207">
        <f t="shared" si="31"/>
        <v>0</v>
      </c>
      <c r="U87" s="207">
        <f t="shared" si="31"/>
        <v>0</v>
      </c>
      <c r="V87" s="207">
        <f t="shared" si="31"/>
        <v>0</v>
      </c>
      <c r="W87" s="207">
        <f t="shared" si="31"/>
        <v>0</v>
      </c>
      <c r="X87" s="207">
        <f t="shared" si="31"/>
        <v>0</v>
      </c>
      <c r="Y87" s="77">
        <f t="shared" si="32"/>
        <v>0</v>
      </c>
      <c r="Z87" s="6">
        <v>0.11818857666880556</v>
      </c>
      <c r="AA87" s="6">
        <v>0.49778875974979209</v>
      </c>
      <c r="AB87" s="6">
        <v>0.3840226635814023</v>
      </c>
      <c r="AC87" s="6">
        <v>0</v>
      </c>
      <c r="AD87" s="6">
        <v>0</v>
      </c>
      <c r="AE87" s="6">
        <v>0</v>
      </c>
      <c r="AF87" s="6">
        <v>0</v>
      </c>
      <c r="AG87" s="8">
        <f t="shared" si="33"/>
        <v>1</v>
      </c>
      <c r="AH87" t="b">
        <f t="shared" si="34"/>
        <v>1</v>
      </c>
      <c r="AI87" s="97">
        <v>144.70421211980818</v>
      </c>
      <c r="AK87" s="275"/>
    </row>
    <row r="88" spans="2:37" x14ac:dyDescent="0.25">
      <c r="B88" s="120"/>
      <c r="C88" t="s">
        <v>251</v>
      </c>
      <c r="D88" t="str">
        <f>Unit_Rates!G151</f>
        <v>Distribution system assets</v>
      </c>
      <c r="E88" t="str">
        <f>Unit_Rates!H151</f>
        <v>Replacement</v>
      </c>
      <c r="F88" t="str">
        <f t="shared" si="30"/>
        <v>Distribution system assetsReplacement</v>
      </c>
      <c r="G88" s="166">
        <f>Unit_Rates!I151</f>
        <v>193.23046251162791</v>
      </c>
      <c r="H88" s="215">
        <v>0</v>
      </c>
      <c r="I88" s="123" t="s">
        <v>294</v>
      </c>
      <c r="K88" s="212">
        <f>G88*H88</f>
        <v>0</v>
      </c>
      <c r="L88" s="212">
        <f>SUMPRODUCT(R$5:X$5,R88:X88)/Thousands</f>
        <v>0</v>
      </c>
      <c r="M88" s="170">
        <f>$H88*Unit_Rates!K151</f>
        <v>0</v>
      </c>
      <c r="N88" s="170">
        <f>$H88*Unit_Rates!L151</f>
        <v>0</v>
      </c>
      <c r="O88" s="170">
        <f>$H88*Unit_Rates!M151</f>
        <v>0</v>
      </c>
      <c r="P88" s="206">
        <f>SUM(K88:O88)</f>
        <v>0</v>
      </c>
      <c r="Q88" s="152">
        <f>P88-(H88*Unit_Rates!$E$151)</f>
        <v>0</v>
      </c>
      <c r="R88" s="207">
        <f t="shared" si="31"/>
        <v>0</v>
      </c>
      <c r="S88" s="207">
        <f t="shared" si="31"/>
        <v>0</v>
      </c>
      <c r="T88" s="207">
        <f t="shared" si="31"/>
        <v>0</v>
      </c>
      <c r="U88" s="207">
        <f t="shared" si="31"/>
        <v>0</v>
      </c>
      <c r="V88" s="207">
        <f t="shared" si="31"/>
        <v>0</v>
      </c>
      <c r="W88" s="207">
        <f t="shared" si="31"/>
        <v>0</v>
      </c>
      <c r="X88" s="207">
        <f t="shared" si="31"/>
        <v>0</v>
      </c>
      <c r="Y88" s="77">
        <f t="shared" si="32"/>
        <v>0</v>
      </c>
      <c r="Z88" s="6">
        <v>0.69942688247564233</v>
      </c>
      <c r="AA88" s="6">
        <v>4.8454943655496512E-2</v>
      </c>
      <c r="AB88" s="6">
        <v>0.25211817386886121</v>
      </c>
      <c r="AC88" s="6">
        <v>0</v>
      </c>
      <c r="AD88" s="6">
        <v>0</v>
      </c>
      <c r="AE88" s="6">
        <v>0</v>
      </c>
      <c r="AF88" s="6">
        <v>0</v>
      </c>
      <c r="AG88" s="8">
        <f t="shared" si="33"/>
        <v>1</v>
      </c>
      <c r="AH88" t="b">
        <f t="shared" si="34"/>
        <v>1</v>
      </c>
      <c r="AI88" s="97">
        <v>220.41130997006761</v>
      </c>
      <c r="AK88" s="275"/>
    </row>
    <row r="89" spans="2:37" x14ac:dyDescent="0.25">
      <c r="B89" s="120" t="s">
        <v>326</v>
      </c>
      <c r="G89" s="166"/>
      <c r="H89" s="122"/>
      <c r="I89" s="123"/>
      <c r="K89" s="212"/>
      <c r="L89" s="212"/>
      <c r="M89" s="170"/>
      <c r="N89" s="170"/>
      <c r="O89" s="170"/>
      <c r="P89" s="206"/>
      <c r="R89" s="127"/>
      <c r="S89" s="127"/>
      <c r="T89" s="127"/>
      <c r="U89" s="127"/>
      <c r="V89" s="127"/>
      <c r="W89" s="127"/>
      <c r="X89" s="127"/>
      <c r="Y89" s="77"/>
      <c r="AK89" s="275"/>
    </row>
    <row r="90" spans="2:37" x14ac:dyDescent="0.25">
      <c r="B90" s="84"/>
      <c r="C90" t="s">
        <v>327</v>
      </c>
      <c r="D90" t="str">
        <f>Unit_Rates!G157</f>
        <v>Distribution system assets</v>
      </c>
      <c r="E90" t="str">
        <f>Unit_Rates!H157</f>
        <v>Augmentation</v>
      </c>
      <c r="F90" t="str">
        <f>D90&amp;E90</f>
        <v>Distribution system assetsAugmentation</v>
      </c>
      <c r="G90" s="166">
        <f>Unit_Rates!I157</f>
        <v>0</v>
      </c>
      <c r="H90" s="213">
        <v>0</v>
      </c>
      <c r="I90" s="123" t="s">
        <v>294</v>
      </c>
      <c r="K90" s="212">
        <f>G90*H90</f>
        <v>0</v>
      </c>
      <c r="L90" s="212">
        <f>SUMPRODUCT(R$5:X$5,R90:X90)/Thousands</f>
        <v>0</v>
      </c>
      <c r="M90" s="170">
        <f>$H90*Unit_Rates!K157</f>
        <v>0</v>
      </c>
      <c r="N90" s="170">
        <f>$H90*Unit_Rates!L157</f>
        <v>0</v>
      </c>
      <c r="O90" s="170">
        <f>$H90*Unit_Rates!M157</f>
        <v>0</v>
      </c>
      <c r="P90" s="206">
        <f>SUM(K90:O90)</f>
        <v>0</v>
      </c>
      <c r="Q90" s="208">
        <f>P90-H90*Unit_Rates!$E157</f>
        <v>0</v>
      </c>
      <c r="R90" s="207">
        <f t="shared" ref="R90:X93" si="35">$AI90*Z90*$H90</f>
        <v>0</v>
      </c>
      <c r="S90" s="207">
        <f t="shared" si="35"/>
        <v>0</v>
      </c>
      <c r="T90" s="207">
        <f t="shared" si="35"/>
        <v>0</v>
      </c>
      <c r="U90" s="207">
        <f t="shared" si="35"/>
        <v>0</v>
      </c>
      <c r="V90" s="207">
        <f t="shared" si="35"/>
        <v>0</v>
      </c>
      <c r="W90" s="207">
        <f t="shared" si="35"/>
        <v>0</v>
      </c>
      <c r="X90" s="207">
        <f t="shared" si="35"/>
        <v>0</v>
      </c>
      <c r="Y90" s="77">
        <f t="shared" si="32"/>
        <v>0</v>
      </c>
      <c r="Z90" s="6">
        <v>0.18112413889844414</v>
      </c>
      <c r="AA90" s="6">
        <v>0.21477521965386426</v>
      </c>
      <c r="AB90" s="6">
        <v>0.6041006414476916</v>
      </c>
      <c r="AC90" s="6">
        <v>0</v>
      </c>
      <c r="AD90" s="6">
        <v>0</v>
      </c>
      <c r="AE90" s="6">
        <v>0</v>
      </c>
      <c r="AF90" s="6">
        <v>0</v>
      </c>
      <c r="AG90" s="8">
        <f t="shared" ref="AG90:AG93" si="36">SUM(Z90:AF90)</f>
        <v>1</v>
      </c>
      <c r="AH90" t="b">
        <f t="shared" si="34"/>
        <v>1</v>
      </c>
      <c r="AI90" s="96">
        <v>469.77670058953754</v>
      </c>
      <c r="AK90" s="275"/>
    </row>
    <row r="91" spans="2:37" x14ac:dyDescent="0.25">
      <c r="B91" s="84"/>
      <c r="C91" t="s">
        <v>328</v>
      </c>
      <c r="D91" t="str">
        <f>Unit_Rates!G158</f>
        <v>Distribution system assets</v>
      </c>
      <c r="E91" t="str">
        <f>Unit_Rates!H158</f>
        <v>Augmentation</v>
      </c>
      <c r="F91" t="str">
        <f t="shared" ref="F91:F93" si="37">D91&amp;E91</f>
        <v>Distribution system assetsAugmentation</v>
      </c>
      <c r="G91" s="166">
        <f>Unit_Rates!I158</f>
        <v>0</v>
      </c>
      <c r="H91" s="213">
        <v>0</v>
      </c>
      <c r="I91" s="123" t="s">
        <v>294</v>
      </c>
      <c r="K91" s="212">
        <f t="shared" ref="K91:K93" si="38">G91*H91</f>
        <v>0</v>
      </c>
      <c r="L91" s="212">
        <f>SUMPRODUCT(R$5:X$5,R91:X91)/Thousands</f>
        <v>0</v>
      </c>
      <c r="M91" s="170">
        <f>$H91*Unit_Rates!K158</f>
        <v>0</v>
      </c>
      <c r="N91" s="170">
        <f>$H91*Unit_Rates!L158</f>
        <v>0</v>
      </c>
      <c r="O91" s="170">
        <f>$H91*Unit_Rates!M158</f>
        <v>0</v>
      </c>
      <c r="P91" s="206">
        <f t="shared" ref="P91:P93" si="39">SUM(K91:O91)</f>
        <v>0</v>
      </c>
      <c r="Q91" s="208">
        <f>P91-H91*Unit_Rates!$E158</f>
        <v>0</v>
      </c>
      <c r="R91" s="207">
        <f t="shared" si="35"/>
        <v>0</v>
      </c>
      <c r="S91" s="207">
        <f t="shared" si="35"/>
        <v>0</v>
      </c>
      <c r="T91" s="207">
        <f t="shared" si="35"/>
        <v>0</v>
      </c>
      <c r="U91" s="207">
        <f t="shared" si="35"/>
        <v>0</v>
      </c>
      <c r="V91" s="207">
        <f t="shared" si="35"/>
        <v>0</v>
      </c>
      <c r="W91" s="207">
        <f t="shared" si="35"/>
        <v>0</v>
      </c>
      <c r="X91" s="207">
        <f t="shared" si="35"/>
        <v>0</v>
      </c>
      <c r="Y91" s="77">
        <f t="shared" si="32"/>
        <v>0</v>
      </c>
      <c r="Z91" s="6">
        <v>0.18112413889844414</v>
      </c>
      <c r="AA91" s="6">
        <v>0.42955043930772852</v>
      </c>
      <c r="AB91" s="6">
        <v>0.3893254217938274</v>
      </c>
      <c r="AC91" s="6">
        <v>0</v>
      </c>
      <c r="AD91" s="6">
        <v>0</v>
      </c>
      <c r="AE91" s="6">
        <v>0</v>
      </c>
      <c r="AF91" s="6">
        <v>0</v>
      </c>
      <c r="AG91" s="8">
        <f t="shared" si="36"/>
        <v>1</v>
      </c>
      <c r="AH91" t="b">
        <f t="shared" si="34"/>
        <v>1</v>
      </c>
      <c r="AI91" s="96">
        <v>500.15046310508262</v>
      </c>
      <c r="AK91" s="275"/>
    </row>
    <row r="92" spans="2:37" x14ac:dyDescent="0.25">
      <c r="B92" s="84"/>
      <c r="C92" t="s">
        <v>329</v>
      </c>
      <c r="D92" t="str">
        <f>Unit_Rates!G159</f>
        <v>Distribution system assets</v>
      </c>
      <c r="E92" t="str">
        <f>Unit_Rates!H159</f>
        <v>Augmentation</v>
      </c>
      <c r="F92" t="str">
        <f t="shared" si="37"/>
        <v>Distribution system assetsAugmentation</v>
      </c>
      <c r="G92" s="166">
        <f>Unit_Rates!I159</f>
        <v>0</v>
      </c>
      <c r="H92" s="213">
        <v>0</v>
      </c>
      <c r="I92" s="123" t="s">
        <v>294</v>
      </c>
      <c r="K92" s="212">
        <f t="shared" si="38"/>
        <v>0</v>
      </c>
      <c r="L92" s="212">
        <f>SUMPRODUCT(R$5:X$5,R92:X92)/Thousands</f>
        <v>0</v>
      </c>
      <c r="M92" s="170">
        <f>$H92*Unit_Rates!K159</f>
        <v>0</v>
      </c>
      <c r="N92" s="170">
        <f>$H92*Unit_Rates!L159</f>
        <v>0</v>
      </c>
      <c r="O92" s="170">
        <f>$H92*Unit_Rates!M159</f>
        <v>0</v>
      </c>
      <c r="P92" s="206">
        <f t="shared" si="39"/>
        <v>0</v>
      </c>
      <c r="Q92" s="208">
        <f>P92-H92*Unit_Rates!$E159</f>
        <v>0</v>
      </c>
      <c r="R92" s="207">
        <f t="shared" si="35"/>
        <v>0</v>
      </c>
      <c r="S92" s="207">
        <f t="shared" si="35"/>
        <v>0</v>
      </c>
      <c r="T92" s="207">
        <f t="shared" si="35"/>
        <v>0</v>
      </c>
      <c r="U92" s="207">
        <f t="shared" si="35"/>
        <v>0</v>
      </c>
      <c r="V92" s="207">
        <f t="shared" si="35"/>
        <v>0</v>
      </c>
      <c r="W92" s="207">
        <f t="shared" si="35"/>
        <v>0</v>
      </c>
      <c r="X92" s="207">
        <f t="shared" si="35"/>
        <v>0</v>
      </c>
      <c r="Y92" s="77">
        <f t="shared" si="32"/>
        <v>0</v>
      </c>
      <c r="Z92" s="6">
        <v>0.18112413889844414</v>
      </c>
      <c r="AA92" s="6">
        <v>0.42955043930772852</v>
      </c>
      <c r="AB92" s="6">
        <v>0.3893254217938274</v>
      </c>
      <c r="AC92" s="6">
        <v>0</v>
      </c>
      <c r="AD92" s="6">
        <v>0</v>
      </c>
      <c r="AE92" s="6">
        <v>0</v>
      </c>
      <c r="AF92" s="6">
        <v>0</v>
      </c>
      <c r="AG92" s="8">
        <f t="shared" si="36"/>
        <v>1</v>
      </c>
      <c r="AH92" t="b">
        <f t="shared" si="34"/>
        <v>1</v>
      </c>
      <c r="AI92" s="96">
        <v>416.11120533381393</v>
      </c>
      <c r="AK92" s="276"/>
    </row>
    <row r="93" spans="2:37" x14ac:dyDescent="0.25">
      <c r="B93" s="84"/>
      <c r="C93" t="s">
        <v>260</v>
      </c>
      <c r="D93" t="str">
        <f>Unit_Rates!G160</f>
        <v>Distribution system assets</v>
      </c>
      <c r="E93" t="str">
        <f>Unit_Rates!H160</f>
        <v>Replacement</v>
      </c>
      <c r="F93" t="str">
        <f t="shared" si="37"/>
        <v>Distribution system assetsReplacement</v>
      </c>
      <c r="G93" s="166">
        <f>Unit_Rates!I160</f>
        <v>32.740161372023131</v>
      </c>
      <c r="H93" s="213">
        <v>0</v>
      </c>
      <c r="I93" s="123" t="s">
        <v>294</v>
      </c>
      <c r="K93" s="212">
        <f t="shared" si="38"/>
        <v>0</v>
      </c>
      <c r="L93" s="212">
        <f>SUMPRODUCT(R$5:X$5,R93:X93)/Thousands</f>
        <v>0</v>
      </c>
      <c r="M93" s="170">
        <f>$H93*Unit_Rates!K160</f>
        <v>0</v>
      </c>
      <c r="N93" s="170">
        <f>$H93*Unit_Rates!L160</f>
        <v>0</v>
      </c>
      <c r="O93" s="170">
        <f>$H93*Unit_Rates!M160</f>
        <v>0</v>
      </c>
      <c r="P93" s="206">
        <f t="shared" si="39"/>
        <v>0</v>
      </c>
      <c r="Q93" s="208">
        <f>P93-H93*Unit_Rates!$E160</f>
        <v>0</v>
      </c>
      <c r="R93" s="207">
        <f t="shared" si="35"/>
        <v>0</v>
      </c>
      <c r="S93" s="207">
        <f t="shared" si="35"/>
        <v>0</v>
      </c>
      <c r="T93" s="207">
        <f t="shared" si="35"/>
        <v>0</v>
      </c>
      <c r="U93" s="207">
        <f t="shared" si="35"/>
        <v>0</v>
      </c>
      <c r="V93" s="207">
        <f t="shared" si="35"/>
        <v>0</v>
      </c>
      <c r="W93" s="207">
        <f t="shared" si="35"/>
        <v>0</v>
      </c>
      <c r="X93" s="207">
        <f t="shared" si="35"/>
        <v>0</v>
      </c>
      <c r="Y93" s="77">
        <f t="shared" si="32"/>
        <v>0</v>
      </c>
      <c r="Z93" s="6">
        <v>0.30314923274650013</v>
      </c>
      <c r="AA93" s="6">
        <v>0.32449777026385929</v>
      </c>
      <c r="AB93" s="6">
        <v>0.37235299698964064</v>
      </c>
      <c r="AC93" s="6">
        <v>0</v>
      </c>
      <c r="AD93" s="6">
        <v>0</v>
      </c>
      <c r="AE93" s="6">
        <v>0</v>
      </c>
      <c r="AF93" s="6">
        <v>0</v>
      </c>
      <c r="AG93" s="8">
        <f t="shared" si="36"/>
        <v>1</v>
      </c>
      <c r="AH93" t="b">
        <f t="shared" si="34"/>
        <v>1</v>
      </c>
      <c r="AI93" s="96">
        <v>61.06</v>
      </c>
    </row>
    <row r="94" spans="2:37" x14ac:dyDescent="0.25">
      <c r="B94" s="84"/>
      <c r="G94" s="167"/>
      <c r="H94" s="84"/>
      <c r="I94" s="167"/>
      <c r="K94" s="203"/>
      <c r="L94" s="203"/>
      <c r="M94" s="204"/>
      <c r="N94" s="204"/>
      <c r="O94" s="204"/>
      <c r="P94" s="169"/>
    </row>
    <row r="95" spans="2:37" x14ac:dyDescent="0.25">
      <c r="B95" s="120" t="s">
        <v>330</v>
      </c>
      <c r="G95" s="167"/>
      <c r="H95" s="84"/>
      <c r="I95" s="167"/>
      <c r="K95" s="193">
        <f>SUM(K77:K93)</f>
        <v>0</v>
      </c>
      <c r="L95" s="193">
        <f t="shared" ref="L95:P95" si="40">SUM(L77:L93)</f>
        <v>0</v>
      </c>
      <c r="M95" s="194">
        <f t="shared" si="40"/>
        <v>0</v>
      </c>
      <c r="N95" s="194">
        <f t="shared" si="40"/>
        <v>0</v>
      </c>
      <c r="O95" s="194">
        <f t="shared" si="40"/>
        <v>0</v>
      </c>
      <c r="P95" s="194">
        <f t="shared" si="40"/>
        <v>0</v>
      </c>
      <c r="R95" s="216"/>
      <c r="S95" s="216"/>
      <c r="T95" s="216"/>
      <c r="Z95" s="8"/>
      <c r="AA95" s="8"/>
      <c r="AB95" s="8"/>
    </row>
    <row r="96" spans="2:37" x14ac:dyDescent="0.25">
      <c r="B96" s="195" t="s">
        <v>307</v>
      </c>
      <c r="C96" s="102"/>
      <c r="D96" s="102"/>
      <c r="E96" s="102"/>
      <c r="F96" s="102"/>
      <c r="G96" s="102"/>
      <c r="H96" s="102"/>
      <c r="I96" s="102"/>
      <c r="J96" s="102"/>
      <c r="K96" s="217"/>
      <c r="L96" s="217"/>
      <c r="M96" s="217"/>
      <c r="N96" s="217"/>
      <c r="O96" s="217"/>
      <c r="P96" s="218"/>
      <c r="Q96" s="163"/>
    </row>
    <row r="97" spans="2:28" x14ac:dyDescent="0.25">
      <c r="B97" s="84"/>
      <c r="K97" s="165"/>
      <c r="L97" s="165"/>
      <c r="M97" s="219"/>
      <c r="N97" s="219"/>
      <c r="O97" s="219"/>
      <c r="P97" s="220"/>
      <c r="Z97" s="183"/>
      <c r="AA97" s="183"/>
      <c r="AB97" s="183"/>
    </row>
    <row r="98" spans="2:28" x14ac:dyDescent="0.25">
      <c r="B98" s="120" t="s">
        <v>33</v>
      </c>
      <c r="C98" s="3"/>
      <c r="D98" s="3"/>
      <c r="E98" s="3"/>
      <c r="F98" s="3"/>
      <c r="G98" s="3"/>
      <c r="H98" s="3"/>
      <c r="I98" s="3"/>
      <c r="J98" s="3"/>
      <c r="K98" s="221">
        <f>K62+K95</f>
        <v>1606.0124999999994</v>
      </c>
      <c r="L98" s="221">
        <f>L62+L95</f>
        <v>341.78367411670314</v>
      </c>
      <c r="M98" s="222">
        <f t="shared" ref="M98:N98" si="41">M62+M95</f>
        <v>473.23893339235815</v>
      </c>
      <c r="N98" s="222">
        <f t="shared" si="41"/>
        <v>1625.6507828276765</v>
      </c>
      <c r="O98" s="222">
        <f>O62+O95</f>
        <v>1.3581835202098926</v>
      </c>
      <c r="P98" s="223">
        <f>P62+P95</f>
        <v>4048.0440738569469</v>
      </c>
    </row>
    <row r="99" spans="2:28" x14ac:dyDescent="0.25">
      <c r="B99" s="224" t="s">
        <v>307</v>
      </c>
      <c r="C99" s="225"/>
      <c r="D99" s="225"/>
      <c r="E99" s="225"/>
      <c r="F99" s="225"/>
      <c r="G99" s="225"/>
      <c r="H99" s="225"/>
      <c r="I99" s="225"/>
      <c r="J99" s="225"/>
      <c r="K99" s="226"/>
      <c r="L99" s="226"/>
      <c r="M99" s="227"/>
      <c r="N99" s="227"/>
      <c r="O99" s="227"/>
      <c r="P99" s="228"/>
      <c r="AB99" s="183"/>
    </row>
    <row r="102" spans="2:28" outlineLevel="1" x14ac:dyDescent="0.25">
      <c r="C102" t="s">
        <v>293</v>
      </c>
      <c r="D102" t="s">
        <v>3</v>
      </c>
      <c r="E102" t="s">
        <v>27</v>
      </c>
      <c r="F102" t="str">
        <f t="shared" ref="F102:F122" si="42">D102&amp;E102</f>
        <v>SubtransmissionAugmentation</v>
      </c>
      <c r="K102" s="4">
        <v>150.41449999999998</v>
      </c>
      <c r="L102" s="4">
        <v>0</v>
      </c>
      <c r="M102" s="229">
        <v>0</v>
      </c>
      <c r="N102" s="229">
        <v>1507.7227828276764</v>
      </c>
      <c r="O102" s="229">
        <v>0</v>
      </c>
      <c r="P102" s="229">
        <v>1658.1372828276762</v>
      </c>
    </row>
    <row r="103" spans="2:28" outlineLevel="1" x14ac:dyDescent="0.25">
      <c r="D103" t="s">
        <v>3</v>
      </c>
      <c r="E103" t="s">
        <v>28</v>
      </c>
      <c r="F103" t="str">
        <f t="shared" si="42"/>
        <v>SubtransmissionReplacement</v>
      </c>
      <c r="K103" s="4">
        <v>0</v>
      </c>
      <c r="L103" s="4">
        <v>0</v>
      </c>
      <c r="M103" s="229">
        <v>0</v>
      </c>
      <c r="N103" s="229">
        <v>0</v>
      </c>
      <c r="O103" s="229">
        <v>0</v>
      </c>
      <c r="P103" s="229">
        <v>0</v>
      </c>
    </row>
    <row r="104" spans="2:28" outlineLevel="1" x14ac:dyDescent="0.25">
      <c r="D104" t="s">
        <v>2</v>
      </c>
      <c r="E104" t="s">
        <v>27</v>
      </c>
      <c r="F104" t="str">
        <f t="shared" si="42"/>
        <v>SCADA/Network controlAugmentation</v>
      </c>
      <c r="K104" s="4">
        <v>1455.5979999999995</v>
      </c>
      <c r="L104" s="4">
        <v>0</v>
      </c>
      <c r="M104" s="229">
        <v>0</v>
      </c>
      <c r="N104" s="229">
        <v>117.928</v>
      </c>
      <c r="O104" s="229">
        <v>1.3581835202098926</v>
      </c>
      <c r="P104" s="229">
        <v>1574.8841835202093</v>
      </c>
    </row>
    <row r="105" spans="2:28" outlineLevel="1" x14ac:dyDescent="0.25">
      <c r="D105" t="s">
        <v>2</v>
      </c>
      <c r="E105" t="s">
        <v>28</v>
      </c>
      <c r="F105" t="str">
        <f t="shared" si="42"/>
        <v>SCADA/Network controlReplacement</v>
      </c>
      <c r="K105" s="4">
        <v>0</v>
      </c>
      <c r="L105" s="4">
        <v>0</v>
      </c>
      <c r="M105" s="229">
        <v>0</v>
      </c>
      <c r="N105" s="229">
        <v>0</v>
      </c>
      <c r="O105" s="229">
        <v>0</v>
      </c>
      <c r="P105" s="229">
        <v>0</v>
      </c>
    </row>
    <row r="106" spans="2:28" outlineLevel="1" x14ac:dyDescent="0.25">
      <c r="D106" t="s">
        <v>4</v>
      </c>
      <c r="E106" t="s">
        <v>29</v>
      </c>
      <c r="F106" t="str">
        <f t="shared" si="42"/>
        <v>LandNon-Network</v>
      </c>
      <c r="K106" s="230">
        <v>0</v>
      </c>
      <c r="L106" s="230">
        <v>0</v>
      </c>
      <c r="M106" s="231">
        <v>0</v>
      </c>
      <c r="N106" s="231">
        <v>0</v>
      </c>
      <c r="O106" s="231">
        <v>0</v>
      </c>
      <c r="P106" s="231">
        <v>0</v>
      </c>
    </row>
    <row r="107" spans="2:28" outlineLevel="1" x14ac:dyDescent="0.25">
      <c r="K107" s="4">
        <v>1606.0124999999994</v>
      </c>
      <c r="L107" s="4">
        <v>0</v>
      </c>
      <c r="M107" s="229">
        <v>0</v>
      </c>
      <c r="N107" s="229">
        <v>1625.6507828276763</v>
      </c>
      <c r="O107" s="229">
        <v>1.3581835202098926</v>
      </c>
      <c r="P107" s="229">
        <v>3233.0214663478855</v>
      </c>
    </row>
    <row r="108" spans="2:28" outlineLevel="1" x14ac:dyDescent="0.25">
      <c r="C108" t="s">
        <v>331</v>
      </c>
      <c r="D108" t="s">
        <v>3</v>
      </c>
      <c r="E108" t="s">
        <v>27</v>
      </c>
      <c r="F108" t="str">
        <f t="shared" ref="F108:F112" si="43">D108&amp;E108</f>
        <v>SubtransmissionAugmentation</v>
      </c>
      <c r="K108" s="4"/>
      <c r="L108" s="4">
        <v>175.29244968327362</v>
      </c>
      <c r="M108" s="229">
        <v>242.7126226383788</v>
      </c>
      <c r="N108" s="229">
        <v>0</v>
      </c>
      <c r="O108" s="229"/>
      <c r="P108" s="229">
        <v>418.00507232165239</v>
      </c>
    </row>
    <row r="109" spans="2:28" outlineLevel="1" x14ac:dyDescent="0.25">
      <c r="D109" t="s">
        <v>3</v>
      </c>
      <c r="E109" t="s">
        <v>28</v>
      </c>
      <c r="F109" t="str">
        <f t="shared" si="43"/>
        <v>SubtransmissionReplacement</v>
      </c>
      <c r="K109" s="4"/>
      <c r="L109" s="232">
        <v>0</v>
      </c>
      <c r="M109" s="233">
        <v>0</v>
      </c>
      <c r="N109" s="233">
        <v>0</v>
      </c>
      <c r="O109" s="229"/>
      <c r="P109" s="229">
        <v>0</v>
      </c>
    </row>
    <row r="110" spans="2:28" outlineLevel="1" x14ac:dyDescent="0.25">
      <c r="D110" t="s">
        <v>2</v>
      </c>
      <c r="E110" t="s">
        <v>27</v>
      </c>
      <c r="F110" t="str">
        <f t="shared" si="43"/>
        <v>SCADA/Network controlAugmentation</v>
      </c>
      <c r="K110" s="4"/>
      <c r="L110" s="4">
        <v>166.49122443342955</v>
      </c>
      <c r="M110" s="229">
        <v>230.52631075397937</v>
      </c>
      <c r="N110" s="229">
        <v>0</v>
      </c>
      <c r="O110" s="229"/>
      <c r="P110" s="229">
        <v>397.01753518740895</v>
      </c>
    </row>
    <row r="111" spans="2:28" outlineLevel="1" x14ac:dyDescent="0.25">
      <c r="D111" t="s">
        <v>2</v>
      </c>
      <c r="E111" t="s">
        <v>28</v>
      </c>
      <c r="F111" t="str">
        <f t="shared" si="43"/>
        <v>SCADA/Network controlReplacement</v>
      </c>
      <c r="K111" s="4"/>
      <c r="L111" s="4">
        <v>0</v>
      </c>
      <c r="M111" s="229">
        <v>0</v>
      </c>
      <c r="N111" s="229">
        <v>0</v>
      </c>
      <c r="O111" s="229"/>
      <c r="P111" s="229">
        <v>0</v>
      </c>
    </row>
    <row r="112" spans="2:28" outlineLevel="1" x14ac:dyDescent="0.25">
      <c r="D112" t="s">
        <v>4</v>
      </c>
      <c r="E112" t="s">
        <v>29</v>
      </c>
      <c r="F112" t="str">
        <f t="shared" si="43"/>
        <v>LandNon-Network</v>
      </c>
      <c r="K112" s="230"/>
      <c r="L112" s="230">
        <v>0</v>
      </c>
      <c r="M112" s="231">
        <v>0</v>
      </c>
      <c r="N112" s="231">
        <v>0</v>
      </c>
      <c r="O112" s="231"/>
      <c r="P112" s="231">
        <v>0</v>
      </c>
    </row>
    <row r="113" spans="3:16" outlineLevel="1" x14ac:dyDescent="0.25">
      <c r="K113" s="4">
        <v>0</v>
      </c>
      <c r="L113" s="4">
        <v>341.7836741167032</v>
      </c>
      <c r="M113" s="229">
        <v>473.23893339235815</v>
      </c>
      <c r="N113" s="229">
        <v>0</v>
      </c>
      <c r="O113" s="229">
        <v>0</v>
      </c>
      <c r="P113" s="229">
        <v>815.02260750906134</v>
      </c>
    </row>
    <row r="114" spans="3:16" outlineLevel="1" x14ac:dyDescent="0.25">
      <c r="C114" t="s">
        <v>332</v>
      </c>
      <c r="D114" t="s">
        <v>3</v>
      </c>
      <c r="E114" t="s">
        <v>27</v>
      </c>
      <c r="F114" t="str">
        <f t="shared" ref="F114:F118" si="44">D114&amp;E114</f>
        <v>SubtransmissionAugmentation</v>
      </c>
      <c r="K114" s="4">
        <v>150.41449999999998</v>
      </c>
      <c r="L114" s="4">
        <v>175.29244968327362</v>
      </c>
      <c r="M114" s="229">
        <v>242.7126226383788</v>
      </c>
      <c r="N114" s="229">
        <v>1507.7227828276764</v>
      </c>
      <c r="O114" s="229">
        <v>0</v>
      </c>
      <c r="P114" s="233">
        <v>2076.1423551493285</v>
      </c>
    </row>
    <row r="115" spans="3:16" outlineLevel="1" x14ac:dyDescent="0.25">
      <c r="D115" t="s">
        <v>3</v>
      </c>
      <c r="E115" t="s">
        <v>28</v>
      </c>
      <c r="F115" t="str">
        <f t="shared" si="44"/>
        <v>SubtransmissionReplacement</v>
      </c>
      <c r="K115" s="4">
        <v>0</v>
      </c>
      <c r="L115" s="4">
        <v>0</v>
      </c>
      <c r="M115" s="229">
        <v>0</v>
      </c>
      <c r="N115" s="229">
        <v>0</v>
      </c>
      <c r="O115" s="229">
        <v>0</v>
      </c>
      <c r="P115" s="233">
        <v>0</v>
      </c>
    </row>
    <row r="116" spans="3:16" outlineLevel="1" x14ac:dyDescent="0.25">
      <c r="D116" t="s">
        <v>2</v>
      </c>
      <c r="E116" t="s">
        <v>27</v>
      </c>
      <c r="F116" t="str">
        <f t="shared" si="44"/>
        <v>SCADA/Network controlAugmentation</v>
      </c>
      <c r="K116" s="4">
        <v>1455.5979999999995</v>
      </c>
      <c r="L116" s="4">
        <v>166.49122443342955</v>
      </c>
      <c r="M116" s="229">
        <v>230.52631075397937</v>
      </c>
      <c r="N116" s="229">
        <v>117.928</v>
      </c>
      <c r="O116" s="229">
        <v>1.3581835202098926</v>
      </c>
      <c r="P116" s="229">
        <v>1971.9017187076183</v>
      </c>
    </row>
    <row r="117" spans="3:16" outlineLevel="1" x14ac:dyDescent="0.25">
      <c r="D117" t="s">
        <v>2</v>
      </c>
      <c r="E117" t="s">
        <v>28</v>
      </c>
      <c r="F117" t="str">
        <f t="shared" si="44"/>
        <v>SCADA/Network controlReplacement</v>
      </c>
      <c r="K117" s="4">
        <v>0</v>
      </c>
      <c r="L117" s="4">
        <v>0</v>
      </c>
      <c r="M117" s="229">
        <v>0</v>
      </c>
      <c r="N117" s="229">
        <v>0</v>
      </c>
      <c r="O117" s="229">
        <v>0</v>
      </c>
      <c r="P117" s="229">
        <v>0</v>
      </c>
    </row>
    <row r="118" spans="3:16" outlineLevel="1" x14ac:dyDescent="0.25">
      <c r="D118" t="s">
        <v>4</v>
      </c>
      <c r="E118" t="s">
        <v>29</v>
      </c>
      <c r="F118" t="str">
        <f t="shared" si="44"/>
        <v>LandNon-Network</v>
      </c>
      <c r="K118" s="230">
        <v>0</v>
      </c>
      <c r="L118" s="230">
        <v>0</v>
      </c>
      <c r="M118" s="231">
        <v>0</v>
      </c>
      <c r="N118" s="231">
        <v>0</v>
      </c>
      <c r="O118" s="231">
        <v>0</v>
      </c>
      <c r="P118" s="231">
        <v>0</v>
      </c>
    </row>
    <row r="119" spans="3:16" outlineLevel="1" x14ac:dyDescent="0.25">
      <c r="K119" s="4">
        <v>1606.0124999999994</v>
      </c>
      <c r="L119" s="4">
        <v>341.7836741167032</v>
      </c>
      <c r="M119" s="229">
        <v>473.23893339235815</v>
      </c>
      <c r="N119" s="229">
        <v>1625.6507828276763</v>
      </c>
      <c r="O119" s="229">
        <v>1.3581835202098926</v>
      </c>
      <c r="P119" s="229">
        <v>4048.0440738569469</v>
      </c>
    </row>
    <row r="120" spans="3:16" outlineLevel="1" x14ac:dyDescent="0.25">
      <c r="K120" s="97">
        <v>0</v>
      </c>
      <c r="L120" s="97">
        <v>0</v>
      </c>
      <c r="M120" s="234">
        <v>0</v>
      </c>
      <c r="N120" s="234">
        <v>0</v>
      </c>
      <c r="O120" s="234">
        <v>0</v>
      </c>
      <c r="P120" s="234">
        <v>0</v>
      </c>
    </row>
    <row r="121" spans="3:16" outlineLevel="1" x14ac:dyDescent="0.25">
      <c r="C121" t="s">
        <v>310</v>
      </c>
      <c r="D121" t="s">
        <v>92</v>
      </c>
      <c r="E121" t="s">
        <v>27</v>
      </c>
      <c r="F121" t="str">
        <f t="shared" si="42"/>
        <v>Distribution system assetsAugmentation</v>
      </c>
      <c r="K121" s="4">
        <v>0</v>
      </c>
      <c r="L121" s="4">
        <v>0</v>
      </c>
      <c r="M121" s="229">
        <v>0</v>
      </c>
      <c r="N121" s="229">
        <v>0</v>
      </c>
      <c r="O121" s="229">
        <v>0</v>
      </c>
      <c r="P121" s="229">
        <v>0</v>
      </c>
    </row>
    <row r="122" spans="3:16" outlineLevel="1" x14ac:dyDescent="0.25">
      <c r="D122" t="s">
        <v>92</v>
      </c>
      <c r="E122" t="s">
        <v>28</v>
      </c>
      <c r="F122" t="str">
        <f t="shared" si="42"/>
        <v>Distribution system assetsReplacement</v>
      </c>
      <c r="K122" s="230">
        <v>0</v>
      </c>
      <c r="L122" s="230">
        <v>0</v>
      </c>
      <c r="M122" s="231">
        <v>0</v>
      </c>
      <c r="N122" s="231">
        <v>0</v>
      </c>
      <c r="O122" s="231">
        <v>0</v>
      </c>
      <c r="P122" s="231">
        <v>0</v>
      </c>
    </row>
    <row r="123" spans="3:16" outlineLevel="1" x14ac:dyDescent="0.25">
      <c r="K123" s="77">
        <v>0</v>
      </c>
      <c r="L123" s="77">
        <v>0</v>
      </c>
      <c r="M123" s="208">
        <v>0</v>
      </c>
      <c r="N123" s="208">
        <v>0</v>
      </c>
      <c r="O123" s="208">
        <v>0</v>
      </c>
      <c r="P123" s="208">
        <v>0</v>
      </c>
    </row>
    <row r="124" spans="3:16" outlineLevel="1" x14ac:dyDescent="0.25">
      <c r="K124" s="235">
        <f>K123-K77</f>
        <v>0</v>
      </c>
      <c r="L124" s="235">
        <f t="shared" ref="L124:P124" si="45">L123-L77</f>
        <v>0</v>
      </c>
      <c r="M124" s="152">
        <f t="shared" si="45"/>
        <v>0</v>
      </c>
      <c r="N124" s="152">
        <f t="shared" si="45"/>
        <v>0</v>
      </c>
      <c r="O124" s="152">
        <f t="shared" si="45"/>
        <v>0</v>
      </c>
      <c r="P124" s="152">
        <f t="shared" si="45"/>
        <v>0</v>
      </c>
    </row>
  </sheetData>
  <mergeCells count="4">
    <mergeCell ref="G3:I3"/>
    <mergeCell ref="K3:P3"/>
    <mergeCell ref="R3:X3"/>
    <mergeCell ref="B3:C4"/>
  </mergeCells>
  <pageMargins left="0.25" right="0.25" top="0.75" bottom="0.75" header="0.3" footer="0.3"/>
  <pageSetup paperSize="9" scale="65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77"/>
  <sheetViews>
    <sheetView zoomScale="70" zoomScaleNormal="70" workbookViewId="0">
      <pane xSplit="3" topLeftCell="D1" activePane="topRight" state="frozen"/>
      <selection activeCell="AL78" sqref="AL78"/>
      <selection pane="topRight" activeCell="B1" sqref="B1"/>
    </sheetView>
  </sheetViews>
  <sheetFormatPr defaultRowHeight="15" outlineLevelCol="1" x14ac:dyDescent="0.25"/>
  <cols>
    <col min="1" max="1" width="12.28515625" customWidth="1"/>
    <col min="2" max="2" width="12.5703125" customWidth="1"/>
    <col min="3" max="3" width="58.85546875" customWidth="1"/>
    <col min="4" max="4" width="78.28515625" customWidth="1"/>
    <col min="5" max="5" width="9.7109375" customWidth="1"/>
    <col min="6" max="6" width="13.28515625" customWidth="1"/>
    <col min="7" max="7" width="33.28515625" style="2" customWidth="1"/>
    <col min="8" max="8" width="17.42578125" style="2" customWidth="1"/>
    <col min="9" max="9" width="9.5703125" customWidth="1"/>
    <col min="10" max="10" width="12.28515625" customWidth="1"/>
    <col min="11" max="11" width="10.7109375" customWidth="1"/>
    <col min="12" max="12" width="11" customWidth="1"/>
    <col min="13" max="13" width="34.7109375" customWidth="1"/>
    <col min="14" max="14" width="12.7109375" customWidth="1"/>
    <col min="15" max="15" width="12.140625" customWidth="1"/>
    <col min="16" max="16" width="10.28515625" customWidth="1"/>
    <col min="17" max="20" width="9.140625" customWidth="1" outlineLevel="1"/>
    <col min="21" max="21" width="8.85546875" customWidth="1" outlineLevel="1"/>
    <col min="22" max="22" width="8.7109375"/>
  </cols>
  <sheetData>
    <row r="1" spans="2:25" ht="18.75" x14ac:dyDescent="0.3">
      <c r="B1" s="279" t="s">
        <v>111</v>
      </c>
      <c r="F1" s="452" t="s">
        <v>112</v>
      </c>
      <c r="G1" s="55"/>
    </row>
    <row r="2" spans="2:25" x14ac:dyDescent="0.25">
      <c r="D2" s="320"/>
      <c r="F2" s="55"/>
      <c r="G2" s="55"/>
      <c r="H2" s="428" t="s">
        <v>484</v>
      </c>
      <c r="I2" s="31">
        <f>1+Summary!G80</f>
        <v>1.0089480509403161</v>
      </c>
    </row>
    <row r="3" spans="2:25" x14ac:dyDescent="0.25">
      <c r="B3" s="3" t="s">
        <v>113</v>
      </c>
      <c r="F3" s="55"/>
      <c r="G3" s="55"/>
      <c r="H3" s="428" t="s">
        <v>485</v>
      </c>
      <c r="I3" s="31">
        <f>1+Summary!G79</f>
        <v>1.0159292035398231</v>
      </c>
    </row>
    <row r="4" spans="2:25" ht="31.5" x14ac:dyDescent="0.25">
      <c r="B4" s="56" t="s">
        <v>114</v>
      </c>
      <c r="I4" s="57"/>
      <c r="J4" s="58"/>
      <c r="K4" s="58"/>
      <c r="L4" s="59"/>
      <c r="M4" s="60"/>
      <c r="N4" s="61"/>
      <c r="O4" s="61"/>
    </row>
    <row r="5" spans="2:25" ht="14.45" customHeight="1" x14ac:dyDescent="0.25">
      <c r="C5" s="13"/>
      <c r="D5" s="13"/>
      <c r="E5" s="62" t="s">
        <v>115</v>
      </c>
      <c r="F5" s="13"/>
      <c r="G5" s="12"/>
      <c r="H5" s="12"/>
      <c r="I5" s="13"/>
      <c r="J5" s="13"/>
      <c r="K5" s="13"/>
      <c r="Q5" t="s">
        <v>116</v>
      </c>
    </row>
    <row r="6" spans="2:25" x14ac:dyDescent="0.25">
      <c r="C6" s="63" t="s">
        <v>117</v>
      </c>
      <c r="D6" s="63" t="s">
        <v>118</v>
      </c>
      <c r="E6" s="64" t="s">
        <v>119</v>
      </c>
      <c r="F6" s="63" t="s">
        <v>120</v>
      </c>
      <c r="G6" s="63" t="s">
        <v>5</v>
      </c>
      <c r="H6" s="63" t="s">
        <v>20</v>
      </c>
      <c r="I6" s="63" t="s">
        <v>21</v>
      </c>
      <c r="J6" s="63" t="s">
        <v>121</v>
      </c>
      <c r="K6" s="63" t="s">
        <v>25</v>
      </c>
      <c r="M6" s="2"/>
      <c r="N6" s="317" t="str">
        <f>STN_2</f>
        <v>WOTS</v>
      </c>
      <c r="O6" s="317" t="str">
        <f>STN_3</f>
        <v>BDL</v>
      </c>
      <c r="P6" s="317" t="str">
        <f>STN_4</f>
        <v>ELM</v>
      </c>
      <c r="Q6" s="282" t="str">
        <f>STN_5</f>
        <v>RWN</v>
      </c>
      <c r="R6" s="282" t="str">
        <f>STN_6</f>
        <v>KMS</v>
      </c>
      <c r="S6" s="282" t="str">
        <f>STN_7</f>
        <v>WGI</v>
      </c>
      <c r="T6" s="282" t="str">
        <f>STN_8</f>
        <v>BGE</v>
      </c>
      <c r="U6" s="282" t="str">
        <f>STN_9</f>
        <v>LDL</v>
      </c>
    </row>
    <row r="7" spans="2:25" x14ac:dyDescent="0.25">
      <c r="C7" s="65" t="s">
        <v>122</v>
      </c>
      <c r="D7" s="65" t="s">
        <v>123</v>
      </c>
      <c r="E7" s="458"/>
      <c r="F7" s="66" t="s">
        <v>91</v>
      </c>
      <c r="G7" s="67" t="s">
        <v>3</v>
      </c>
      <c r="H7" s="68" t="s">
        <v>27</v>
      </c>
      <c r="I7" s="69">
        <f>'Unit_Rates - $2015'!I7*1/Escalators!$G$12</f>
        <v>72.618999999999986</v>
      </c>
      <c r="J7" s="458"/>
      <c r="K7" s="458"/>
      <c r="L7" s="2"/>
      <c r="M7" s="70"/>
      <c r="N7" s="23">
        <f>IF(ISNA(VLOOKUP($C7,WOTS_Det!$C$17:$H$97,6,FALSE)),0,VLOOKUP($C7,WOTS_Det!$C$17:$H$97,6,FALSE))</f>
        <v>0</v>
      </c>
      <c r="O7" s="23">
        <f>IF(ISNA(VLOOKUP($C7,BDL_Det!$C$17:$H$107,6,FALSE)),0,VLOOKUP($C7,BDL_Det!$C$17:$H$107,6,FALSE))</f>
        <v>0</v>
      </c>
      <c r="P7" s="23">
        <f>IF(ISNA(VLOOKUP($C7,ELM_Det!$C$17:$H$101,6,FALSE)),0,VLOOKUP($C7,ELM_Det!$C$17:$H$101,6,FALSE))</f>
        <v>0</v>
      </c>
      <c r="Q7" s="23">
        <f>IF(ISNA(VLOOKUP($C7,RWN_Det!$C$17:$H$98,6,FALSE)),0,VLOOKUP($C7,RWN_Det!$C$17:$H$98,6,FALSE))</f>
        <v>0</v>
      </c>
      <c r="R7" s="23">
        <f>IF(ISNA(VLOOKUP($C7,KMS_Det!$C$17:$H$95,6,FALSE)),0,VLOOKUP($C7,KMS_Det!$C$17:$H$95,6,FALSE))</f>
        <v>0</v>
      </c>
      <c r="S7" s="23">
        <f>IF(ISNA(VLOOKUP($C7,WGI_Det!$C$17:$H$77,6,FALSE)),0,VLOOKUP($C7,WGI_Det!$C$17:$H$77,6,FALSE))</f>
        <v>0</v>
      </c>
      <c r="T7" s="23">
        <f>IF(ISNA(VLOOKUP($C7,BGE_Det!$C$17:$H$91,6,FALSE)),0,VLOOKUP($C7,BGE_Det!$C$17:$H$91,6,FALSE))</f>
        <v>0</v>
      </c>
      <c r="U7" s="23">
        <f>IF(ISNA(VLOOKUP($C7,LDL_Det!$C$17:$H$73,6,FALSE)),0,VLOOKUP($C7,LDL_Det!$C$17:$H$73,6,FALSE))</f>
        <v>0</v>
      </c>
      <c r="W7" s="235"/>
      <c r="X7" s="235"/>
      <c r="Y7" s="235"/>
    </row>
    <row r="8" spans="2:25" x14ac:dyDescent="0.25">
      <c r="C8" s="65" t="s">
        <v>124</v>
      </c>
      <c r="D8" s="65" t="s">
        <v>125</v>
      </c>
      <c r="E8" s="458"/>
      <c r="F8" s="66" t="s">
        <v>91</v>
      </c>
      <c r="G8" s="67" t="s">
        <v>3</v>
      </c>
      <c r="H8" s="68" t="s">
        <v>27</v>
      </c>
      <c r="I8" s="69">
        <f>'Unit_Rates - $2015'!I8*1/Escalators!$G$12</f>
        <v>112.82799999999997</v>
      </c>
      <c r="J8" s="458"/>
      <c r="K8" s="458"/>
      <c r="L8" s="2"/>
      <c r="M8" s="288"/>
      <c r="N8" s="23">
        <f>IF(ISNA(VLOOKUP($C8,WOTS_Det!$C$17:$H$97,6,FALSE)),0,VLOOKUP($C8,WOTS_Det!$C$17:$H$97,6,FALSE))</f>
        <v>0</v>
      </c>
      <c r="O8" s="23">
        <f>IF(ISNA(VLOOKUP($C8,BDL_Det!$C$17:$H$107,6,FALSE)),0,VLOOKUP($C8,BDL_Det!$C$17:$H$107,6,FALSE))</f>
        <v>0</v>
      </c>
      <c r="P8" s="23">
        <f>IF(ISNA(VLOOKUP($C8,ELM_Det!$C$17:$H$101,6,FALSE)),0,VLOOKUP($C8,ELM_Det!$C$17:$H$101,6,FALSE))</f>
        <v>0</v>
      </c>
      <c r="Q8" s="23">
        <f>IF(ISNA(VLOOKUP($C8,RWN_Det!$C$17:$H$98,6,FALSE)),0,VLOOKUP($C8,RWN_Det!$C$17:$H$98,6,FALSE))</f>
        <v>2</v>
      </c>
      <c r="R8" s="23">
        <f>IF(ISNA(VLOOKUP($C8,KMS_Det!$C$17:$H$95,6,FALSE)),0,VLOOKUP($C8,KMS_Det!$C$17:$H$95,6,FALSE))</f>
        <v>0</v>
      </c>
      <c r="S8" s="23">
        <f>IF(ISNA(VLOOKUP($C8,WGI_Det!$C$17:$H$77,6,FALSE)),0,VLOOKUP($C8,WGI_Det!$C$17:$H$77,6,FALSE))</f>
        <v>2</v>
      </c>
      <c r="T8" s="23">
        <f>IF(ISNA(VLOOKUP($C8,BGE_Det!$C$17:$H$91,6,FALSE)),0,VLOOKUP($C8,BGE_Det!$C$17:$H$91,6,FALSE))</f>
        <v>0</v>
      </c>
      <c r="U8" s="23">
        <f>IF(ISNA(VLOOKUP($C8,LDL_Det!$C$17:$H$73,6,FALSE)),0,VLOOKUP($C8,LDL_Det!$C$17:$H$73,6,FALSE))</f>
        <v>0</v>
      </c>
      <c r="W8" s="235"/>
      <c r="X8" s="235"/>
      <c r="Y8" s="235"/>
    </row>
    <row r="9" spans="2:25" x14ac:dyDescent="0.25">
      <c r="B9" s="387" t="s">
        <v>497</v>
      </c>
      <c r="C9" s="316" t="s">
        <v>432</v>
      </c>
      <c r="D9" s="316" t="s">
        <v>438</v>
      </c>
      <c r="E9" s="458"/>
      <c r="F9" s="429" t="s">
        <v>91</v>
      </c>
      <c r="G9" s="430" t="s">
        <v>3</v>
      </c>
      <c r="H9" s="412" t="s">
        <v>27</v>
      </c>
      <c r="I9" s="69">
        <v>47.718692238676105</v>
      </c>
      <c r="J9" s="458"/>
      <c r="K9" s="458"/>
      <c r="L9" s="401"/>
      <c r="M9" s="288"/>
      <c r="N9" s="23">
        <f>IF(ISNA(VLOOKUP($C9,WOTS_Det!$C$17:$H$97,6,FALSE)),0,VLOOKUP($C9,WOTS_Det!$C$17:$H$97,6,FALSE))</f>
        <v>2</v>
      </c>
      <c r="O9" s="23">
        <f>IF(ISNA(VLOOKUP($C9,BDL_Det!$C$17:$H$107,6,FALSE)),0,VLOOKUP($C9,BDL_Det!$C$17:$H$107,6,FALSE))</f>
        <v>0</v>
      </c>
      <c r="P9" s="23">
        <f>IF(ISNA(VLOOKUP($C9,ELM_Det!$C$17:$H$101,6,FALSE)),0,VLOOKUP($C9,ELM_Det!$C$17:$H$101,6,FALSE))</f>
        <v>0</v>
      </c>
      <c r="Q9" s="23">
        <f>IF(ISNA(VLOOKUP($C9,RWN_Det!$C$17:$H$98,6,FALSE)),0,VLOOKUP($C9,RWN_Det!$C$17:$H$98,6,FALSE))</f>
        <v>0</v>
      </c>
      <c r="R9" s="23">
        <f>IF(ISNA(VLOOKUP($C9,KMS_Det!$C$17:$H$95,6,FALSE)),0,VLOOKUP($C9,KMS_Det!$C$17:$H$95,6,FALSE))</f>
        <v>0</v>
      </c>
      <c r="S9" s="23">
        <f>IF(ISNA(VLOOKUP($C9,WGI_Det!$C$17:$H$77,6,FALSE)),0,VLOOKUP($C9,WGI_Det!$C$17:$H$77,6,FALSE))</f>
        <v>0</v>
      </c>
      <c r="T9" s="23">
        <f>IF(ISNA(VLOOKUP($C9,BGE_Det!$C$17:$H$91,6,FALSE)),0,VLOOKUP($C9,BGE_Det!$C$17:$H$91,6,FALSE))</f>
        <v>1</v>
      </c>
      <c r="U9" s="23">
        <f>IF(ISNA(VLOOKUP($C9,LDL_Det!$C$17:$H$73,6,FALSE)),0,VLOOKUP($C9,LDL_Det!$C$17:$H$73,6,FALSE))</f>
        <v>0</v>
      </c>
      <c r="W9" s="235"/>
      <c r="X9" s="235"/>
      <c r="Y9" s="235"/>
    </row>
    <row r="10" spans="2:25" x14ac:dyDescent="0.25">
      <c r="B10" s="387" t="s">
        <v>497</v>
      </c>
      <c r="C10" s="316" t="s">
        <v>433</v>
      </c>
      <c r="D10" s="316" t="s">
        <v>434</v>
      </c>
      <c r="E10" s="458"/>
      <c r="F10" s="429" t="s">
        <v>91</v>
      </c>
      <c r="G10" s="430" t="s">
        <v>3</v>
      </c>
      <c r="H10" s="412" t="s">
        <v>27</v>
      </c>
      <c r="I10" s="69">
        <v>18.997386759581939</v>
      </c>
      <c r="J10" s="458"/>
      <c r="K10" s="458"/>
      <c r="L10" s="401"/>
      <c r="M10" s="70"/>
      <c r="N10" s="23">
        <f>IF(ISNA(VLOOKUP($C10,WOTS_Det!$C$17:$H$97,6,FALSE)),0,VLOOKUP($C10,WOTS_Det!$C$17:$H$97,6,FALSE))</f>
        <v>3</v>
      </c>
      <c r="O10" s="23">
        <f>IF(ISNA(VLOOKUP($C10,BDL_Det!$C$17:$H$107,6,FALSE)),0,VLOOKUP($C10,BDL_Det!$C$17:$H$107,6,FALSE))</f>
        <v>0</v>
      </c>
      <c r="P10" s="23">
        <f>IF(ISNA(VLOOKUP($C10,ELM_Det!$C$17:$H$101,6,FALSE)),0,VLOOKUP($C10,ELM_Det!$C$17:$H$101,6,FALSE))</f>
        <v>0</v>
      </c>
      <c r="Q10" s="23">
        <f>IF(ISNA(VLOOKUP($C10,RWN_Det!$C$17:$H$98,6,FALSE)),0,VLOOKUP($C10,RWN_Det!$C$17:$H$98,6,FALSE))</f>
        <v>0</v>
      </c>
      <c r="R10" s="23">
        <f>IF(ISNA(VLOOKUP($C10,KMS_Det!$C$17:$H$95,6,FALSE)),0,VLOOKUP($C10,KMS_Det!$C$17:$H$95,6,FALSE))</f>
        <v>0</v>
      </c>
      <c r="S10" s="23">
        <f>IF(ISNA(VLOOKUP($C10,WGI_Det!$C$17:$H$77,6,FALSE)),0,VLOOKUP($C10,WGI_Det!$C$17:$H$77,6,FALSE))</f>
        <v>5</v>
      </c>
      <c r="T10" s="23">
        <f>IF(ISNA(VLOOKUP($C10,BGE_Det!$C$17:$H$91,6,FALSE)),0,VLOOKUP($C10,BGE_Det!$C$17:$H$91,6,FALSE))</f>
        <v>3</v>
      </c>
      <c r="U10" s="23">
        <f>IF(ISNA(VLOOKUP($C10,LDL_Det!$C$17:$H$73,6,FALSE)),0,VLOOKUP($C10,LDL_Det!$C$17:$H$73,6,FALSE))</f>
        <v>0</v>
      </c>
      <c r="W10" s="235"/>
      <c r="X10" s="235"/>
      <c r="Y10" s="235"/>
    </row>
    <row r="11" spans="2:25" x14ac:dyDescent="0.25">
      <c r="B11" s="387" t="s">
        <v>497</v>
      </c>
      <c r="C11" s="316" t="s">
        <v>462</v>
      </c>
      <c r="D11" s="316" t="s">
        <v>463</v>
      </c>
      <c r="E11" s="458"/>
      <c r="F11" s="429" t="s">
        <v>91</v>
      </c>
      <c r="G11" s="430" t="s">
        <v>3</v>
      </c>
      <c r="H11" s="412" t="s">
        <v>27</v>
      </c>
      <c r="I11" s="69">
        <v>80.025261324042049</v>
      </c>
      <c r="J11" s="458"/>
      <c r="K11" s="458"/>
      <c r="L11" s="403"/>
      <c r="M11" s="70"/>
      <c r="N11" s="23">
        <f>IF(ISNA(VLOOKUP($C11,WOTS_Det!$C$17:$H$97,6,FALSE)),0,VLOOKUP($C11,WOTS_Det!$C$17:$H$97,6,FALSE))</f>
        <v>0</v>
      </c>
      <c r="O11" s="23">
        <f>IF(ISNA(VLOOKUP($C11,BDL_Det!$C$17:$H$107,6,FALSE)),0,VLOOKUP($C11,BDL_Det!$C$17:$H$107,6,FALSE))</f>
        <v>0</v>
      </c>
      <c r="P11" s="23">
        <f>IF(ISNA(VLOOKUP($C11,ELM_Det!$C$17:$H$101,6,FALSE)),0,VLOOKUP($C11,ELM_Det!$C$17:$H$101,6,FALSE))</f>
        <v>0</v>
      </c>
      <c r="Q11" s="23">
        <f>IF(ISNA(VLOOKUP($C11,RWN_Det!$C$17:$H$98,6,FALSE)),0,VLOOKUP($C11,RWN_Det!$C$17:$H$98,6,FALSE))</f>
        <v>0</v>
      </c>
      <c r="R11" s="23">
        <f>IF(ISNA(VLOOKUP($C11,KMS_Det!$C$17:$H$95,6,FALSE)),0,VLOOKUP($C11,KMS_Det!$C$17:$H$95,6,FALSE))</f>
        <v>0</v>
      </c>
      <c r="S11" s="23">
        <f>IF(ISNA(VLOOKUP($C11,WGI_Det!$C$17:$H$77,6,FALSE)),0,VLOOKUP($C11,WGI_Det!$C$17:$H$77,6,FALSE))</f>
        <v>0</v>
      </c>
      <c r="T11" s="23">
        <f>IF(ISNA(VLOOKUP($C11,BGE_Det!$C$17:$H$91,6,FALSE)),0,VLOOKUP($C11,BGE_Det!$C$17:$H$91,6,FALSE))</f>
        <v>1</v>
      </c>
      <c r="U11" s="23">
        <f>IF(ISNA(VLOOKUP($C11,LDL_Det!$C$17:$H$73,6,FALSE)),0,VLOOKUP($C11,LDL_Det!$C$17:$H$73,6,FALSE))</f>
        <v>0</v>
      </c>
      <c r="W11" s="235"/>
      <c r="X11" s="235"/>
      <c r="Y11" s="235"/>
    </row>
    <row r="12" spans="2:25" x14ac:dyDescent="0.25">
      <c r="B12" s="387" t="s">
        <v>497</v>
      </c>
      <c r="C12" s="316" t="s">
        <v>473</v>
      </c>
      <c r="D12" s="316" t="s">
        <v>476</v>
      </c>
      <c r="E12" s="458"/>
      <c r="F12" s="429" t="s">
        <v>91</v>
      </c>
      <c r="G12" s="430" t="s">
        <v>3</v>
      </c>
      <c r="H12" s="412" t="s">
        <v>27</v>
      </c>
      <c r="I12" s="69">
        <v>907.54355555038592</v>
      </c>
      <c r="J12" s="458"/>
      <c r="K12" s="458"/>
      <c r="L12" s="402"/>
      <c r="M12" s="70"/>
      <c r="N12" s="23">
        <f>IF(ISNA(VLOOKUP($C12,WOTS_Det!$C$17:$H$97,6,FALSE)),0,VLOOKUP($C12,WOTS_Det!$C$17:$H$97,6,FALSE))</f>
        <v>0</v>
      </c>
      <c r="O12" s="23">
        <f>IF(ISNA(VLOOKUP($C12,BDL_Det!$C$17:$H$107,6,FALSE)),0,VLOOKUP($C12,BDL_Det!$C$17:$H$107,6,FALSE))</f>
        <v>0</v>
      </c>
      <c r="P12" s="23">
        <f>IF(ISNA(VLOOKUP($C12,ELM_Det!$C$17:$H$101,6,FALSE)),0,VLOOKUP($C12,ELM_Det!$C$17:$H$101,6,FALSE))</f>
        <v>0</v>
      </c>
      <c r="Q12" s="23">
        <f>IF(ISNA(VLOOKUP($C12,RWN_Det!$C$17:$H$98,6,FALSE)),0,VLOOKUP($C12,RWN_Det!$C$17:$H$98,6,FALSE))</f>
        <v>0</v>
      </c>
      <c r="R12" s="23">
        <f>IF(ISNA(VLOOKUP($C12,KMS_Det!$C$17:$H$95,6,FALSE)),0,VLOOKUP($C12,KMS_Det!$C$17:$H$95,6,FALSE))</f>
        <v>0</v>
      </c>
      <c r="S12" s="23">
        <f>IF(ISNA(VLOOKUP($C12,WGI_Det!$C$17:$H$77,6,FALSE)),0,VLOOKUP($C12,WGI_Det!$C$17:$H$77,6,FALSE))</f>
        <v>0</v>
      </c>
      <c r="T12" s="23">
        <f>IF(ISNA(VLOOKUP($C12,BGE_Det!$C$17:$H$91,6,FALSE)),0,VLOOKUP($C12,BGE_Det!$C$17:$H$91,6,FALSE))</f>
        <v>0</v>
      </c>
      <c r="U12" s="23">
        <f>IF(ISNA(VLOOKUP($C12,LDL_Det!$C$17:$H$73,6,FALSE)),0,VLOOKUP($C12,LDL_Det!$C$17:$H$73,6,FALSE))</f>
        <v>1</v>
      </c>
      <c r="W12" s="235"/>
      <c r="X12" s="235"/>
      <c r="Y12" s="235"/>
    </row>
    <row r="13" spans="2:25" x14ac:dyDescent="0.25">
      <c r="C13" s="65" t="s">
        <v>334</v>
      </c>
      <c r="D13" s="65" t="s">
        <v>335</v>
      </c>
      <c r="E13" s="458"/>
      <c r="F13" s="66" t="s">
        <v>91</v>
      </c>
      <c r="G13" s="67" t="s">
        <v>3</v>
      </c>
      <c r="H13" s="68" t="s">
        <v>27</v>
      </c>
      <c r="I13" s="69">
        <f>'Unit_Rates - $2015'!I9*1/Escalators!$G$12</f>
        <v>426.80678651665863</v>
      </c>
      <c r="J13" s="458"/>
      <c r="K13" s="458"/>
      <c r="L13" s="2"/>
      <c r="N13" s="23">
        <f>IF(ISNA(VLOOKUP($C13,WOTS_Det!$C$17:$H$97,6,FALSE)),0,VLOOKUP($C13,WOTS_Det!$C$17:$H$97,6,FALSE))</f>
        <v>0</v>
      </c>
      <c r="O13" s="23">
        <f>IF(ISNA(VLOOKUP($C13,BDL_Det!$C$17:$H$107,6,FALSE)),0,VLOOKUP($C13,BDL_Det!$C$17:$H$107,6,FALSE))</f>
        <v>0</v>
      </c>
      <c r="P13" s="23">
        <f>IF(ISNA(VLOOKUP($C13,ELM_Det!$C$17:$H$101,6,FALSE)),0,VLOOKUP($C13,ELM_Det!$C$17:$H$101,6,FALSE))</f>
        <v>0</v>
      </c>
      <c r="Q13" s="23">
        <f>IF(ISNA(VLOOKUP($C13,RWN_Det!$C$17:$H$98,6,FALSE)),0,VLOOKUP($C13,RWN_Det!$C$17:$H$98,6,FALSE))</f>
        <v>0</v>
      </c>
      <c r="R13" s="23">
        <f>IF(ISNA(VLOOKUP($C13,KMS_Det!$C$17:$H$95,6,FALSE)),0,VLOOKUP($C13,KMS_Det!$C$17:$H$95,6,FALSE))</f>
        <v>0</v>
      </c>
      <c r="S13" s="23">
        <f>IF(ISNA(VLOOKUP($C13,WGI_Det!$C$17:$H$77,6,FALSE)),0,VLOOKUP($C13,WGI_Det!$C$17:$H$77,6,FALSE))</f>
        <v>0</v>
      </c>
      <c r="T13" s="23">
        <f>IF(ISNA(VLOOKUP($C13,BGE_Det!$C$17:$H$91,6,FALSE)),0,VLOOKUP($C13,BGE_Det!$C$17:$H$91,6,FALSE))</f>
        <v>0</v>
      </c>
      <c r="U13" s="23">
        <f>IF(ISNA(VLOOKUP($C13,LDL_Det!$C$17:$H$73,6,FALSE)),0,VLOOKUP($C13,LDL_Det!$C$17:$H$73,6,FALSE))</f>
        <v>0</v>
      </c>
      <c r="W13" s="235"/>
      <c r="X13" s="235"/>
      <c r="Y13" s="235"/>
    </row>
    <row r="14" spans="2:25" x14ac:dyDescent="0.25">
      <c r="C14" s="65" t="s">
        <v>126</v>
      </c>
      <c r="D14" s="65" t="s">
        <v>127</v>
      </c>
      <c r="E14" s="458"/>
      <c r="F14" s="66" t="s">
        <v>91</v>
      </c>
      <c r="G14" s="67" t="s">
        <v>3</v>
      </c>
      <c r="H14" s="68" t="s">
        <v>27</v>
      </c>
      <c r="I14" s="69">
        <f>'Unit_Rates - $2015'!I10*1/Escalators!$G$12+85.1</f>
        <v>465.00233333333324</v>
      </c>
      <c r="J14" s="458"/>
      <c r="K14" s="458"/>
      <c r="L14" s="2"/>
      <c r="M14" s="70"/>
      <c r="N14" s="23">
        <f>IF(ISNA(VLOOKUP($C14,WOTS_Det!$C$17:$H$97,6,FALSE)),0,VLOOKUP($C14,WOTS_Det!$C$17:$H$97,6,FALSE))</f>
        <v>0</v>
      </c>
      <c r="O14" s="23">
        <f>IF(ISNA(VLOOKUP($C14,BDL_Det!$C$17:$H$107,6,FALSE)),0,VLOOKUP($C14,BDL_Det!$C$17:$H$107,6,FALSE))</f>
        <v>0</v>
      </c>
      <c r="P14" s="23">
        <f>IF(ISNA(VLOOKUP($C14,ELM_Det!$C$17:$H$101,6,FALSE)),0,VLOOKUP($C14,ELM_Det!$C$17:$H$101,6,FALSE))</f>
        <v>0</v>
      </c>
      <c r="Q14" s="23">
        <f>IF(ISNA(VLOOKUP($C14,RWN_Det!$C$17:$H$98,6,FALSE)),0,VLOOKUP($C14,RWN_Det!$C$17:$H$98,6,FALSE))</f>
        <v>0</v>
      </c>
      <c r="R14" s="23">
        <f>IF(ISNA(VLOOKUP($C14,KMS_Det!$C$17:$H$95,6,FALSE)),0,VLOOKUP($C14,KMS_Det!$C$17:$H$95,6,FALSE))</f>
        <v>0</v>
      </c>
      <c r="S14" s="23">
        <f>IF(ISNA(VLOOKUP($C14,WGI_Det!$C$17:$H$77,6,FALSE)),0,VLOOKUP($C14,WGI_Det!$C$17:$H$77,6,FALSE))</f>
        <v>0</v>
      </c>
      <c r="T14" s="23">
        <f>IF(ISNA(VLOOKUP($C14,BGE_Det!$C$17:$H$91,6,FALSE)),0,VLOOKUP($C14,BGE_Det!$C$17:$H$91,6,FALSE))</f>
        <v>0</v>
      </c>
      <c r="U14" s="23">
        <f>IF(ISNA(VLOOKUP($C14,LDL_Det!$C$17:$H$73,6,FALSE)),0,VLOOKUP($C14,LDL_Det!$C$17:$H$73,6,FALSE))</f>
        <v>0</v>
      </c>
      <c r="W14" s="235"/>
      <c r="X14" s="235"/>
      <c r="Y14" s="235"/>
    </row>
    <row r="15" spans="2:25" x14ac:dyDescent="0.25">
      <c r="B15" s="387" t="s">
        <v>497</v>
      </c>
      <c r="C15" s="316" t="s">
        <v>431</v>
      </c>
      <c r="D15" s="316" t="s">
        <v>437</v>
      </c>
      <c r="E15" s="458"/>
      <c r="F15" s="429" t="s">
        <v>91</v>
      </c>
      <c r="G15" s="430" t="s">
        <v>3</v>
      </c>
      <c r="H15" s="412" t="s">
        <v>27</v>
      </c>
      <c r="I15" s="69">
        <v>1184.64554006969</v>
      </c>
      <c r="J15" s="458"/>
      <c r="K15" s="458"/>
      <c r="L15" s="401"/>
      <c r="M15" s="70"/>
      <c r="N15" s="23">
        <f>IF(ISNA(VLOOKUP($C15,WOTS_Det!$C$17:$H$97,6,FALSE)),0,VLOOKUP($C15,WOTS_Det!$C$17:$H$97,6,FALSE))</f>
        <v>2</v>
      </c>
      <c r="O15" s="23">
        <f>IF(ISNA(VLOOKUP($C15,BDL_Det!$C$17:$H$107,6,FALSE)),0,VLOOKUP($C15,BDL_Det!$C$17:$H$107,6,FALSE))</f>
        <v>0</v>
      </c>
      <c r="P15" s="23">
        <f>IF(ISNA(VLOOKUP($C15,ELM_Det!$C$17:$H$101,6,FALSE)),0,VLOOKUP($C15,ELM_Det!$C$17:$H$101,6,FALSE))</f>
        <v>0</v>
      </c>
      <c r="Q15" s="23">
        <f>IF(ISNA(VLOOKUP($C15,RWN_Det!$C$17:$H$98,6,FALSE)),0,VLOOKUP($C15,RWN_Det!$C$17:$H$98,6,FALSE))</f>
        <v>0</v>
      </c>
      <c r="R15" s="23">
        <f>IF(ISNA(VLOOKUP($C15,KMS_Det!$C$17:$H$95,6,FALSE)),0,VLOOKUP($C15,KMS_Det!$C$17:$H$95,6,FALSE))</f>
        <v>0</v>
      </c>
      <c r="S15" s="23">
        <f>IF(ISNA(VLOOKUP($C15,WGI_Det!$C$17:$H$77,6,FALSE)),0,VLOOKUP($C15,WGI_Det!$C$17:$H$77,6,FALSE))</f>
        <v>0</v>
      </c>
      <c r="T15" s="23">
        <f>IF(ISNA(VLOOKUP($C15,BGE_Det!$C$17:$H$91,6,FALSE)),0,VLOOKUP($C15,BGE_Det!$C$17:$H$91,6,FALSE))</f>
        <v>1</v>
      </c>
      <c r="U15" s="23">
        <f>IF(ISNA(VLOOKUP($C15,LDL_Det!$C$17:$H$73,6,FALSE)),0,VLOOKUP($C15,LDL_Det!$C$17:$H$73,6,FALSE))</f>
        <v>0</v>
      </c>
      <c r="W15" s="235"/>
      <c r="X15" s="235"/>
      <c r="Y15" s="235"/>
    </row>
    <row r="16" spans="2:25" x14ac:dyDescent="0.25">
      <c r="C16" s="65" t="s">
        <v>128</v>
      </c>
      <c r="D16" s="65" t="s">
        <v>129</v>
      </c>
      <c r="E16" s="458"/>
      <c r="F16" s="66" t="s">
        <v>91</v>
      </c>
      <c r="G16" s="67" t="s">
        <v>3</v>
      </c>
      <c r="H16" s="68" t="s">
        <v>27</v>
      </c>
      <c r="I16" s="69">
        <f>'Unit_Rates - $2015'!I11*1/Escalators!$G$12</f>
        <v>39.294999999999995</v>
      </c>
      <c r="J16" s="458"/>
      <c r="K16" s="458"/>
      <c r="L16" s="2"/>
      <c r="M16" s="70"/>
      <c r="N16" s="23">
        <f>IF(ISNA(VLOOKUP($C16,WOTS_Det!$C$17:$H$97,6,FALSE)),0,VLOOKUP($C16,WOTS_Det!$C$17:$H$97,6,FALSE))</f>
        <v>0</v>
      </c>
      <c r="O16" s="23">
        <f>IF(ISNA(VLOOKUP($C16,BDL_Det!$C$17:$H$107,6,FALSE)),0,VLOOKUP($C16,BDL_Det!$C$17:$H$107,6,FALSE))</f>
        <v>0</v>
      </c>
      <c r="P16" s="23">
        <f>IF(ISNA(VLOOKUP($C16,ELM_Det!$C$17:$H$101,6,FALSE)),0,VLOOKUP($C16,ELM_Det!$C$17:$H$101,6,FALSE))</f>
        <v>0</v>
      </c>
      <c r="Q16" s="23">
        <f>IF(ISNA(VLOOKUP($C16,RWN_Det!$C$17:$H$98,6,FALSE)),0,VLOOKUP($C16,RWN_Det!$C$17:$H$98,6,FALSE))</f>
        <v>0</v>
      </c>
      <c r="R16" s="23">
        <f>IF(ISNA(VLOOKUP($C16,KMS_Det!$C$17:$H$95,6,FALSE)),0,VLOOKUP($C16,KMS_Det!$C$17:$H$95,6,FALSE))</f>
        <v>0</v>
      </c>
      <c r="S16" s="23">
        <f>IF(ISNA(VLOOKUP($C16,WGI_Det!$C$17:$H$77,6,FALSE)),0,VLOOKUP($C16,WGI_Det!$C$17:$H$77,6,FALSE))</f>
        <v>0</v>
      </c>
      <c r="T16" s="23">
        <f>IF(ISNA(VLOOKUP($C16,BGE_Det!$C$17:$H$91,6,FALSE)),0,VLOOKUP($C16,BGE_Det!$C$17:$H$91,6,FALSE))</f>
        <v>0</v>
      </c>
      <c r="U16" s="23">
        <f>IF(ISNA(VLOOKUP($C16,LDL_Det!$C$17:$H$73,6,FALSE)),0,VLOOKUP($C16,LDL_Det!$C$17:$H$73,6,FALSE))</f>
        <v>0</v>
      </c>
      <c r="W16" s="235"/>
      <c r="X16" s="235"/>
      <c r="Y16" s="235"/>
    </row>
    <row r="17" spans="3:25" x14ac:dyDescent="0.25">
      <c r="C17" s="65" t="s">
        <v>130</v>
      </c>
      <c r="D17" s="65" t="s">
        <v>131</v>
      </c>
      <c r="E17" s="458"/>
      <c r="F17" s="66" t="s">
        <v>91</v>
      </c>
      <c r="G17" s="67" t="s">
        <v>3</v>
      </c>
      <c r="H17" s="68" t="s">
        <v>27</v>
      </c>
      <c r="I17" s="69">
        <f>'Unit_Rates - $2015'!I12*1/Escalators!$G$12</f>
        <v>42.974999999999994</v>
      </c>
      <c r="J17" s="458"/>
      <c r="K17" s="458"/>
      <c r="L17" s="2"/>
      <c r="M17" s="70"/>
      <c r="N17" s="23">
        <f>IF(ISNA(VLOOKUP($C17,WOTS_Det!$C$17:$H$97,6,FALSE)),0,VLOOKUP($C17,WOTS_Det!$C$17:$H$97,6,FALSE))</f>
        <v>0</v>
      </c>
      <c r="O17" s="23">
        <f>IF(ISNA(VLOOKUP($C17,BDL_Det!$C$17:$H$107,6,FALSE)),0,VLOOKUP($C17,BDL_Det!$C$17:$H$107,6,FALSE))</f>
        <v>0</v>
      </c>
      <c r="P17" s="23">
        <f>IF(ISNA(VLOOKUP($C17,ELM_Det!$C$17:$H$101,6,FALSE)),0,VLOOKUP($C17,ELM_Det!$C$17:$H$101,6,FALSE))</f>
        <v>0</v>
      </c>
      <c r="Q17" s="23">
        <f>IF(ISNA(VLOOKUP($C17,RWN_Det!$C$17:$H$98,6,FALSE)),0,VLOOKUP($C17,RWN_Det!$C$17:$H$98,6,FALSE))</f>
        <v>0</v>
      </c>
      <c r="R17" s="23">
        <f>IF(ISNA(VLOOKUP($C17,KMS_Det!$C$17:$H$95,6,FALSE)),0,VLOOKUP($C17,KMS_Det!$C$17:$H$95,6,FALSE))</f>
        <v>1</v>
      </c>
      <c r="S17" s="23">
        <f>IF(ISNA(VLOOKUP($C17,WGI_Det!$C$17:$H$77,6,FALSE)),0,VLOOKUP($C17,WGI_Det!$C$17:$H$77,6,FALSE))</f>
        <v>0</v>
      </c>
      <c r="T17" s="23">
        <f>IF(ISNA(VLOOKUP($C17,BGE_Det!$C$17:$H$91,6,FALSE)),0,VLOOKUP($C17,BGE_Det!$C$17:$H$91,6,FALSE))</f>
        <v>0</v>
      </c>
      <c r="U17" s="23">
        <f>IF(ISNA(VLOOKUP($C17,LDL_Det!$C$17:$H$73,6,FALSE)),0,VLOOKUP($C17,LDL_Det!$C$17:$H$73,6,FALSE))</f>
        <v>0</v>
      </c>
      <c r="W17" s="235"/>
      <c r="X17" s="235"/>
      <c r="Y17" s="235"/>
    </row>
    <row r="18" spans="3:25" x14ac:dyDescent="0.25">
      <c r="C18" s="65" t="s">
        <v>132</v>
      </c>
      <c r="D18" s="65" t="s">
        <v>132</v>
      </c>
      <c r="E18" s="458"/>
      <c r="F18" s="66" t="s">
        <v>91</v>
      </c>
      <c r="G18" s="67" t="s">
        <v>3</v>
      </c>
      <c r="H18" s="68" t="s">
        <v>27</v>
      </c>
      <c r="I18" s="69">
        <f>'Unit_Rates - $2015'!I13*1/Escalators!$G$12</f>
        <v>0</v>
      </c>
      <c r="J18" s="458"/>
      <c r="K18" s="458"/>
      <c r="L18" s="2"/>
      <c r="M18" s="70"/>
      <c r="N18" s="23">
        <f>IF(ISNA(VLOOKUP($C18,WOTS_Det!$C$17:$H$97,6,FALSE)),0,VLOOKUP($C18,WOTS_Det!$C$17:$H$97,6,FALSE))</f>
        <v>0</v>
      </c>
      <c r="O18" s="23">
        <f>IF(ISNA(VLOOKUP($C18,BDL_Det!$C$17:$H$107,6,FALSE)),0,VLOOKUP($C18,BDL_Det!$C$17:$H$107,6,FALSE))</f>
        <v>0</v>
      </c>
      <c r="P18" s="23">
        <f>IF(ISNA(VLOOKUP($C18,ELM_Det!$C$17:$H$101,6,FALSE)),0,VLOOKUP($C18,ELM_Det!$C$17:$H$101,6,FALSE))</f>
        <v>0</v>
      </c>
      <c r="Q18" s="23">
        <f>IF(ISNA(VLOOKUP($C18,RWN_Det!$C$17:$H$98,6,FALSE)),0,VLOOKUP($C18,RWN_Det!$C$17:$H$98,6,FALSE))</f>
        <v>0</v>
      </c>
      <c r="R18" s="23">
        <f>IF(ISNA(VLOOKUP($C18,KMS_Det!$C$17:$H$95,6,FALSE)),0,VLOOKUP($C18,KMS_Det!$C$17:$H$95,6,FALSE))</f>
        <v>0</v>
      </c>
      <c r="S18" s="23">
        <f>IF(ISNA(VLOOKUP($C18,WGI_Det!$C$17:$H$77,6,FALSE)),0,VLOOKUP($C18,WGI_Det!$C$17:$H$77,6,FALSE))</f>
        <v>0</v>
      </c>
      <c r="T18" s="23">
        <f>IF(ISNA(VLOOKUP($C18,BGE_Det!$C$17:$H$91,6,FALSE)),0,VLOOKUP($C18,BGE_Det!$C$17:$H$91,6,FALSE))</f>
        <v>0</v>
      </c>
      <c r="U18" s="23">
        <f>IF(ISNA(VLOOKUP($C18,LDL_Det!$C$17:$H$73,6,FALSE)),0,VLOOKUP($C18,LDL_Det!$C$17:$H$73,6,FALSE))</f>
        <v>0</v>
      </c>
      <c r="W18" s="235"/>
      <c r="X18" s="235"/>
      <c r="Y18" s="235"/>
    </row>
    <row r="19" spans="3:25" x14ac:dyDescent="0.25">
      <c r="C19" s="65" t="s">
        <v>133</v>
      </c>
      <c r="D19" s="65" t="s">
        <v>134</v>
      </c>
      <c r="E19" s="458"/>
      <c r="F19" s="66" t="s">
        <v>91</v>
      </c>
      <c r="G19" s="67" t="s">
        <v>2</v>
      </c>
      <c r="H19" s="68" t="s">
        <v>27</v>
      </c>
      <c r="I19" s="69">
        <f>'Unit_Rates - $2015'!I14*1/Escalators!$G$12</f>
        <v>1158.2999999999995</v>
      </c>
      <c r="J19" s="458"/>
      <c r="K19" s="458"/>
      <c r="L19" s="71"/>
      <c r="M19" s="70"/>
      <c r="N19" s="23">
        <f>IF(ISNA(VLOOKUP($C19,WOTS_Det!$C$17:$H$97,6,FALSE)),0,VLOOKUP($C19,WOTS_Det!$C$17:$H$97,6,FALSE))</f>
        <v>2</v>
      </c>
      <c r="O19" s="23">
        <f>IF(ISNA(VLOOKUP($C19,BDL_Det!$C$17:$H$107,6,FALSE)),0,VLOOKUP($C19,BDL_Det!$C$17:$H$107,6,FALSE))</f>
        <v>1</v>
      </c>
      <c r="P19" s="23">
        <f>IF(ISNA(VLOOKUP($C19,ELM_Det!$C$17:$H$101,6,FALSE)),0,VLOOKUP($C19,ELM_Det!$C$17:$H$101,6,FALSE))</f>
        <v>1</v>
      </c>
      <c r="Q19" s="23">
        <f>IF(ISNA(VLOOKUP($C19,RWN_Det!$C$17:$H$98,6,FALSE)),0,VLOOKUP($C19,RWN_Det!$C$17:$H$98,6,FALSE))</f>
        <v>1</v>
      </c>
      <c r="R19" s="23">
        <f>IF(ISNA(VLOOKUP($C19,KMS_Det!$C$17:$H$95,6,FALSE)),0,VLOOKUP($C19,KMS_Det!$C$17:$H$95,6,FALSE))</f>
        <v>1</v>
      </c>
      <c r="S19" s="23">
        <f>IF(ISNA(VLOOKUP($C19,WGI_Det!$C$17:$H$77,6,FALSE)),0,VLOOKUP($C19,WGI_Det!$C$17:$H$77,6,FALSE))</f>
        <v>1</v>
      </c>
      <c r="T19" s="23">
        <f>IF(ISNA(VLOOKUP($C19,BGE_Det!$C$17:$H$91,6,FALSE)),0,VLOOKUP($C19,BGE_Det!$C$17:$H$91,6,FALSE))</f>
        <v>1</v>
      </c>
      <c r="U19" s="23">
        <f>IF(ISNA(VLOOKUP($C19,LDL_Det!$C$17:$H$73,6,FALSE)),0,VLOOKUP($C19,LDL_Det!$C$17:$H$73,6,FALSE))</f>
        <v>0</v>
      </c>
      <c r="W19" s="235"/>
      <c r="X19" s="235"/>
      <c r="Y19" s="235"/>
    </row>
    <row r="20" spans="3:25" x14ac:dyDescent="0.25">
      <c r="C20" s="65" t="s">
        <v>135</v>
      </c>
      <c r="D20" s="65" t="s">
        <v>136</v>
      </c>
      <c r="E20" s="458"/>
      <c r="F20" s="66" t="s">
        <v>91</v>
      </c>
      <c r="G20" s="67" t="s">
        <v>3</v>
      </c>
      <c r="H20" s="68" t="s">
        <v>27</v>
      </c>
      <c r="I20" s="69">
        <f>'Unit_Rates - $2015'!I15*1/Escalators!$G$12</f>
        <v>0</v>
      </c>
      <c r="J20" s="458"/>
      <c r="K20" s="458"/>
      <c r="L20" s="2"/>
      <c r="M20" s="70"/>
      <c r="N20" s="23">
        <f>IF(ISNA(VLOOKUP($C20,WOTS_Det!$C$17:$H$97,6,FALSE)),0,VLOOKUP($C20,WOTS_Det!$C$17:$H$97,6,FALSE))</f>
        <v>2</v>
      </c>
      <c r="O20" s="23">
        <f>IF(ISNA(VLOOKUP($C20,BDL_Det!$C$17:$H$107,6,FALSE)),0,VLOOKUP($C20,BDL_Det!$C$17:$H$107,6,FALSE))</f>
        <v>1</v>
      </c>
      <c r="P20" s="23">
        <f>IF(ISNA(VLOOKUP($C20,ELM_Det!$C$17:$H$101,6,FALSE)),0,VLOOKUP($C20,ELM_Det!$C$17:$H$101,6,FALSE))</f>
        <v>1</v>
      </c>
      <c r="Q20" s="23">
        <f>IF(ISNA(VLOOKUP($C20,RWN_Det!$C$17:$H$98,6,FALSE)),0,VLOOKUP($C20,RWN_Det!$C$17:$H$98,6,FALSE))</f>
        <v>1</v>
      </c>
      <c r="R20" s="23">
        <f>IF(ISNA(VLOOKUP($C20,KMS_Det!$C$17:$H$95,6,FALSE)),0,VLOOKUP($C20,KMS_Det!$C$17:$H$95,6,FALSE))</f>
        <v>0</v>
      </c>
      <c r="S20" s="23">
        <f>IF(ISNA(VLOOKUP($C20,WGI_Det!$C$17:$H$77,6,FALSE)),0,VLOOKUP($C20,WGI_Det!$C$17:$H$77,6,FALSE))</f>
        <v>1</v>
      </c>
      <c r="T20" s="23">
        <f>IF(ISNA(VLOOKUP($C20,BGE_Det!$C$17:$H$91,6,FALSE)),0,VLOOKUP($C20,BGE_Det!$C$17:$H$91,6,FALSE))</f>
        <v>1</v>
      </c>
      <c r="U20" s="23">
        <f>IF(ISNA(VLOOKUP($C20,LDL_Det!$C$17:$H$73,6,FALSE)),0,VLOOKUP($C20,LDL_Det!$C$17:$H$73,6,FALSE))</f>
        <v>0</v>
      </c>
      <c r="W20" s="235"/>
      <c r="X20" s="235"/>
      <c r="Y20" s="235"/>
    </row>
    <row r="21" spans="3:25" x14ac:dyDescent="0.25">
      <c r="C21" s="65" t="s">
        <v>137</v>
      </c>
      <c r="D21" s="65" t="s">
        <v>138</v>
      </c>
      <c r="E21" s="458"/>
      <c r="F21" s="66" t="s">
        <v>91</v>
      </c>
      <c r="G21" s="67" t="s">
        <v>3</v>
      </c>
      <c r="H21" s="68" t="s">
        <v>27</v>
      </c>
      <c r="I21" s="69">
        <f>'Unit_Rates - $2015'!I16*1/Escalators!$G$12</f>
        <v>1353.9999999999995</v>
      </c>
      <c r="J21" s="458"/>
      <c r="K21" s="458"/>
      <c r="L21" s="2"/>
      <c r="M21" s="70"/>
      <c r="N21" s="23">
        <f>IF(ISNA(VLOOKUP($C21,WOTS_Det!$C$17:$H$97,6,FALSE)),0,VLOOKUP($C21,WOTS_Det!$C$17:$H$97,6,FALSE))</f>
        <v>0</v>
      </c>
      <c r="O21" s="23">
        <f>IF(ISNA(VLOOKUP($C21,BDL_Det!$C$17:$H$107,6,FALSE)),0,VLOOKUP($C21,BDL_Det!$C$17:$H$107,6,FALSE))</f>
        <v>1</v>
      </c>
      <c r="P21" s="23">
        <f>IF(ISNA(VLOOKUP($C21,ELM_Det!$C$17:$H$101,6,FALSE)),0,VLOOKUP($C21,ELM_Det!$C$17:$H$101,6,FALSE))</f>
        <v>1</v>
      </c>
      <c r="Q21" s="23">
        <f>IF(ISNA(VLOOKUP($C21,RWN_Det!$C$17:$H$98,6,FALSE)),0,VLOOKUP($C21,RWN_Det!$C$17:$H$98,6,FALSE))</f>
        <v>0</v>
      </c>
      <c r="R21" s="23">
        <f>IF(ISNA(VLOOKUP($C21,KMS_Det!$C$17:$H$95,6,FALSE)),0,VLOOKUP($C21,KMS_Det!$C$17:$H$95,6,FALSE))</f>
        <v>0</v>
      </c>
      <c r="S21" s="23">
        <f>IF(ISNA(VLOOKUP($C21,WGI_Det!$C$17:$H$77,6,FALSE)),0,VLOOKUP($C21,WGI_Det!$C$17:$H$77,6,FALSE))</f>
        <v>0</v>
      </c>
      <c r="T21" s="23">
        <f>IF(ISNA(VLOOKUP($C21,BGE_Det!$C$17:$H$91,6,FALSE)),0,VLOOKUP($C21,BGE_Det!$C$17:$H$91,6,FALSE))</f>
        <v>0</v>
      </c>
      <c r="U21" s="23">
        <f>IF(ISNA(VLOOKUP($C21,LDL_Det!$C$17:$H$73,6,FALSE)),0,VLOOKUP($C21,LDL_Det!$C$17:$H$73,6,FALSE))</f>
        <v>0</v>
      </c>
      <c r="W21" s="235"/>
      <c r="X21" s="235"/>
      <c r="Y21" s="235"/>
    </row>
    <row r="22" spans="3:25" x14ac:dyDescent="0.25">
      <c r="C22" s="65" t="s">
        <v>139</v>
      </c>
      <c r="D22" s="65" t="s">
        <v>140</v>
      </c>
      <c r="E22" s="458"/>
      <c r="F22" s="66" t="s">
        <v>91</v>
      </c>
      <c r="G22" s="67" t="s">
        <v>3</v>
      </c>
      <c r="H22" s="68" t="s">
        <v>27</v>
      </c>
      <c r="I22" s="69">
        <f>'Unit_Rates - $2015'!I17*1/Escalators!$G$12</f>
        <v>1461.1162790697672</v>
      </c>
      <c r="J22" s="458"/>
      <c r="K22" s="458"/>
      <c r="L22" s="2"/>
      <c r="M22" s="70"/>
      <c r="N22" s="23">
        <f>IF(ISNA(VLOOKUP($C22,WOTS_Det!$C$17:$H$97,6,FALSE)),0,VLOOKUP($C22,WOTS_Det!$C$17:$H$97,6,FALSE))</f>
        <v>0</v>
      </c>
      <c r="O22" s="23">
        <f>IF(ISNA(VLOOKUP($C22,BDL_Det!$C$17:$H$107,6,FALSE)),0,VLOOKUP($C22,BDL_Det!$C$17:$H$107,6,FALSE))</f>
        <v>0</v>
      </c>
      <c r="P22" s="23">
        <f>IF(ISNA(VLOOKUP($C22,ELM_Det!$C$17:$H$101,6,FALSE)),0,VLOOKUP($C22,ELM_Det!$C$17:$H$101,6,FALSE))</f>
        <v>0</v>
      </c>
      <c r="Q22" s="23">
        <f>IF(ISNA(VLOOKUP($C22,RWN_Det!$C$17:$H$98,6,FALSE)),0,VLOOKUP($C22,RWN_Det!$C$17:$H$98,6,FALSE))</f>
        <v>0</v>
      </c>
      <c r="R22" s="23">
        <f>IF(ISNA(VLOOKUP($C22,KMS_Det!$C$17:$H$95,6,FALSE)),0,VLOOKUP($C22,KMS_Det!$C$17:$H$95,6,FALSE))</f>
        <v>0</v>
      </c>
      <c r="S22" s="23">
        <f>IF(ISNA(VLOOKUP($C22,WGI_Det!$C$17:$H$77,6,FALSE)),0,VLOOKUP($C22,WGI_Det!$C$17:$H$77,6,FALSE))</f>
        <v>0</v>
      </c>
      <c r="T22" s="23">
        <f>IF(ISNA(VLOOKUP($C22,BGE_Det!$C$17:$H$91,6,FALSE)),0,VLOOKUP($C22,BGE_Det!$C$17:$H$91,6,FALSE))</f>
        <v>0</v>
      </c>
      <c r="U22" s="23">
        <f>IF(ISNA(VLOOKUP($C22,LDL_Det!$C$17:$H$73,6,FALSE)),0,VLOOKUP($C22,LDL_Det!$C$17:$H$73,6,FALSE))</f>
        <v>0</v>
      </c>
      <c r="W22" s="235"/>
      <c r="X22" s="235"/>
      <c r="Y22" s="235"/>
    </row>
    <row r="23" spans="3:25" x14ac:dyDescent="0.25">
      <c r="C23" s="65" t="s">
        <v>141</v>
      </c>
      <c r="D23" s="65" t="s">
        <v>142</v>
      </c>
      <c r="E23" s="458"/>
      <c r="F23" s="66" t="s">
        <v>91</v>
      </c>
      <c r="G23" s="67" t="s">
        <v>3</v>
      </c>
      <c r="H23" s="68" t="s">
        <v>27</v>
      </c>
      <c r="I23" s="69">
        <f>'Unit_Rates - $2015'!I18*1/Escalators!$G$12</f>
        <v>699.99999999999989</v>
      </c>
      <c r="J23" s="458"/>
      <c r="K23" s="458"/>
      <c r="L23" s="2"/>
      <c r="M23" s="70"/>
      <c r="N23" s="23">
        <f>IF(ISNA(VLOOKUP($C23,WOTS_Det!$C$17:$H$97,6,FALSE)),0,VLOOKUP($C23,WOTS_Det!$C$17:$H$97,6,FALSE))</f>
        <v>0</v>
      </c>
      <c r="O23" s="23">
        <f>IF(ISNA(VLOOKUP($C23,BDL_Det!$C$17:$H$107,6,FALSE)),0,VLOOKUP($C23,BDL_Det!$C$17:$H$107,6,FALSE))</f>
        <v>0</v>
      </c>
      <c r="P23" s="23">
        <f>IF(ISNA(VLOOKUP($C23,ELM_Det!$C$17:$H$101,6,FALSE)),0,VLOOKUP($C23,ELM_Det!$C$17:$H$101,6,FALSE))</f>
        <v>0</v>
      </c>
      <c r="Q23" s="23">
        <f>IF(ISNA(VLOOKUP($C23,RWN_Det!$C$17:$H$98,6,FALSE)),0,VLOOKUP($C23,RWN_Det!$C$17:$H$98,6,FALSE))</f>
        <v>0</v>
      </c>
      <c r="R23" s="23">
        <f>IF(ISNA(VLOOKUP($C23,KMS_Det!$C$17:$H$95,6,FALSE)),0,VLOOKUP($C23,KMS_Det!$C$17:$H$95,6,FALSE))</f>
        <v>0</v>
      </c>
      <c r="S23" s="23">
        <f>IF(ISNA(VLOOKUP($C23,WGI_Det!$C$17:$H$77,6,FALSE)),0,VLOOKUP($C23,WGI_Det!$C$17:$H$77,6,FALSE))</f>
        <v>0</v>
      </c>
      <c r="T23" s="23">
        <f>IF(ISNA(VLOOKUP($C23,BGE_Det!$C$17:$H$91,6,FALSE)),0,VLOOKUP($C23,BGE_Det!$C$17:$H$91,6,FALSE))</f>
        <v>0</v>
      </c>
      <c r="U23" s="23">
        <f>IF(ISNA(VLOOKUP($C23,LDL_Det!$C$17:$H$73,6,FALSE)),0,VLOOKUP($C23,LDL_Det!$C$17:$H$73,6,FALSE))</f>
        <v>0</v>
      </c>
      <c r="W23" s="235"/>
      <c r="X23" s="235"/>
      <c r="Y23" s="235"/>
    </row>
    <row r="24" spans="3:25" x14ac:dyDescent="0.25">
      <c r="C24" s="65" t="s">
        <v>143</v>
      </c>
      <c r="D24" s="65" t="s">
        <v>144</v>
      </c>
      <c r="E24" s="458"/>
      <c r="F24" s="66" t="s">
        <v>91</v>
      </c>
      <c r="G24" s="67" t="s">
        <v>3</v>
      </c>
      <c r="H24" s="68" t="s">
        <v>27</v>
      </c>
      <c r="I24" s="69">
        <f>'Unit_Rates - $2015'!I19*1/Escalators!$G$12</f>
        <v>127.03197209302326</v>
      </c>
      <c r="J24" s="458"/>
      <c r="K24" s="458"/>
      <c r="L24" s="2"/>
      <c r="M24" s="70"/>
      <c r="N24" s="23">
        <f>IF(ISNA(VLOOKUP($C24,WOTS_Det!$C$17:$H$97,6,FALSE)),0,VLOOKUP($C24,WOTS_Det!$C$17:$H$97,6,FALSE))</f>
        <v>0</v>
      </c>
      <c r="O24" s="23">
        <f>IF(ISNA(VLOOKUP($C24,BDL_Det!$C$17:$H$107,6,FALSE)),0,VLOOKUP($C24,BDL_Det!$C$17:$H$107,6,FALSE))</f>
        <v>0</v>
      </c>
      <c r="P24" s="23">
        <f>IF(ISNA(VLOOKUP($C24,ELM_Det!$C$17:$H$101,6,FALSE)),0,VLOOKUP($C24,ELM_Det!$C$17:$H$101,6,FALSE))</f>
        <v>0</v>
      </c>
      <c r="Q24" s="23">
        <f>IF(ISNA(VLOOKUP($C24,RWN_Det!$C$17:$H$98,6,FALSE)),0,VLOOKUP($C24,RWN_Det!$C$17:$H$98,6,FALSE))</f>
        <v>0</v>
      </c>
      <c r="R24" s="23">
        <f>IF(ISNA(VLOOKUP($C24,KMS_Det!$C$17:$H$95,6,FALSE)),0,VLOOKUP($C24,KMS_Det!$C$17:$H$95,6,FALSE))</f>
        <v>0</v>
      </c>
      <c r="S24" s="23">
        <f>IF(ISNA(VLOOKUP($C24,WGI_Det!$C$17:$H$77,6,FALSE)),0,VLOOKUP($C24,WGI_Det!$C$17:$H$77,6,FALSE))</f>
        <v>0</v>
      </c>
      <c r="T24" s="23">
        <f>IF(ISNA(VLOOKUP($C24,BGE_Det!$C$17:$H$91,6,FALSE)),0,VLOOKUP($C24,BGE_Det!$C$17:$H$91,6,FALSE))</f>
        <v>0</v>
      </c>
      <c r="U24" s="23">
        <f>IF(ISNA(VLOOKUP($C24,LDL_Det!$C$17:$H$73,6,FALSE)),0,VLOOKUP($C24,LDL_Det!$C$17:$H$73,6,FALSE))</f>
        <v>0</v>
      </c>
      <c r="W24" s="235"/>
      <c r="X24" s="235"/>
      <c r="Y24" s="235"/>
    </row>
    <row r="25" spans="3:25" x14ac:dyDescent="0.25">
      <c r="C25" s="65" t="s">
        <v>337</v>
      </c>
      <c r="D25" s="65" t="s">
        <v>145</v>
      </c>
      <c r="E25" s="458"/>
      <c r="F25" s="66" t="s">
        <v>91</v>
      </c>
      <c r="G25" s="67" t="s">
        <v>3</v>
      </c>
      <c r="H25" s="68" t="s">
        <v>27</v>
      </c>
      <c r="I25" s="69">
        <f>'Unit_Rates - $2015'!I20*1/Escalators!$G$12</f>
        <v>465.78000000000003</v>
      </c>
      <c r="J25" s="458"/>
      <c r="K25" s="458"/>
      <c r="L25" s="2"/>
      <c r="M25" s="70"/>
      <c r="N25" s="23">
        <f>IF(ISNA(VLOOKUP($C25,WOTS_Det!$C$17:$H$97,6,FALSE)),0,VLOOKUP($C25,WOTS_Det!$C$17:$H$97,6,FALSE))</f>
        <v>0</v>
      </c>
      <c r="O25" s="23">
        <f>IF(ISNA(VLOOKUP($C25,BDL_Det!$C$17:$H$107,6,FALSE)),0,VLOOKUP($C25,BDL_Det!$C$17:$H$107,6,FALSE))</f>
        <v>1</v>
      </c>
      <c r="P25" s="23">
        <f>IF(ISNA(VLOOKUP($C25,ELM_Det!$C$17:$H$101,6,FALSE)),0,VLOOKUP($C25,ELM_Det!$C$17:$H$101,6,FALSE))</f>
        <v>1</v>
      </c>
      <c r="Q25" s="23">
        <f>IF(ISNA(VLOOKUP($C25,RWN_Det!$C$17:$H$98,6,FALSE)),0,VLOOKUP($C25,RWN_Det!$C$17:$H$98,6,FALSE))</f>
        <v>0</v>
      </c>
      <c r="R25" s="23">
        <f>IF(ISNA(VLOOKUP($C25,KMS_Det!$C$17:$H$95,6,FALSE)),0,VLOOKUP($C25,KMS_Det!$C$17:$H$95,6,FALSE))</f>
        <v>0</v>
      </c>
      <c r="S25" s="23">
        <f>IF(ISNA(VLOOKUP($C25,WGI_Det!$C$17:$H$77,6,FALSE)),0,VLOOKUP($C25,WGI_Det!$C$17:$H$77,6,FALSE))</f>
        <v>0</v>
      </c>
      <c r="T25" s="23">
        <f>IF(ISNA(VLOOKUP($C25,BGE_Det!$C$17:$H$91,6,FALSE)),0,VLOOKUP($C25,BGE_Det!$C$17:$H$91,6,FALSE))</f>
        <v>0</v>
      </c>
      <c r="U25" s="23">
        <f>IF(ISNA(VLOOKUP($C25,LDL_Det!$C$17:$H$73,6,FALSE)),0,VLOOKUP($C25,LDL_Det!$C$17:$H$73,6,FALSE))</f>
        <v>0</v>
      </c>
      <c r="W25" s="235"/>
      <c r="X25" s="235"/>
      <c r="Y25" s="235"/>
    </row>
    <row r="26" spans="3:25" x14ac:dyDescent="0.25">
      <c r="C26" s="65" t="s">
        <v>338</v>
      </c>
      <c r="D26" s="65" t="s">
        <v>145</v>
      </c>
      <c r="E26" s="458"/>
      <c r="F26" s="66" t="s">
        <v>91</v>
      </c>
      <c r="G26" s="67" t="s">
        <v>3</v>
      </c>
      <c r="H26" s="68" t="s">
        <v>27</v>
      </c>
      <c r="I26" s="69">
        <f>'Unit_Rates - $2015'!I21*1/Escalators!$G$12</f>
        <v>406.8</v>
      </c>
      <c r="J26" s="458"/>
      <c r="K26" s="458"/>
      <c r="L26" s="214"/>
      <c r="M26" s="70"/>
      <c r="N26" s="23">
        <f>IF(ISNA(VLOOKUP($C26,WOTS_Det!$C$17:$H$97,6,FALSE)),0,VLOOKUP($C26,WOTS_Det!$C$17:$H$97,6,FALSE))</f>
        <v>0</v>
      </c>
      <c r="O26" s="23">
        <f>IF(ISNA(VLOOKUP($C26,BDL_Det!$C$17:$H$107,6,FALSE)),0,VLOOKUP($C26,BDL_Det!$C$17:$H$107,6,FALSE))</f>
        <v>0</v>
      </c>
      <c r="P26" s="23">
        <f>IF(ISNA(VLOOKUP($C26,ELM_Det!$C$17:$H$101,6,FALSE)),0,VLOOKUP($C26,ELM_Det!$C$17:$H$101,6,FALSE))</f>
        <v>0</v>
      </c>
      <c r="Q26" s="23">
        <f>IF(ISNA(VLOOKUP($C26,RWN_Det!$C$17:$H$98,6,FALSE)),0,VLOOKUP($C26,RWN_Det!$C$17:$H$98,6,FALSE))</f>
        <v>1</v>
      </c>
      <c r="R26" s="23">
        <f>IF(ISNA(VLOOKUP($C26,KMS_Det!$C$17:$H$95,6,FALSE)),0,VLOOKUP($C26,KMS_Det!$C$17:$H$95,6,FALSE))</f>
        <v>0</v>
      </c>
      <c r="S26" s="23">
        <f>IF(ISNA(VLOOKUP($C26,WGI_Det!$C$17:$H$77,6,FALSE)),0,VLOOKUP($C26,WGI_Det!$C$17:$H$77,6,FALSE))</f>
        <v>0</v>
      </c>
      <c r="T26" s="23">
        <f>IF(ISNA(VLOOKUP($C26,BGE_Det!$C$17:$H$91,6,FALSE)),0,VLOOKUP($C26,BGE_Det!$C$17:$H$91,6,FALSE))</f>
        <v>0</v>
      </c>
      <c r="U26" s="23">
        <f>IF(ISNA(VLOOKUP($C26,LDL_Det!$C$17:$H$73,6,FALSE)),0,VLOOKUP($C26,LDL_Det!$C$17:$H$73,6,FALSE))</f>
        <v>0</v>
      </c>
      <c r="W26" s="235"/>
      <c r="X26" s="235"/>
      <c r="Y26" s="235"/>
    </row>
    <row r="27" spans="3:25" s="72" customFormat="1" x14ac:dyDescent="0.25">
      <c r="C27" s="65" t="s">
        <v>339</v>
      </c>
      <c r="D27" s="65" t="s">
        <v>146</v>
      </c>
      <c r="E27" s="458"/>
      <c r="F27" s="66" t="s">
        <v>91</v>
      </c>
      <c r="G27" s="67" t="s">
        <v>3</v>
      </c>
      <c r="H27" s="68" t="s">
        <v>27</v>
      </c>
      <c r="I27" s="69">
        <f>'Unit_Rates - $2015'!I22*1/Escalators!$G$12</f>
        <v>686.54500000000007</v>
      </c>
      <c r="J27" s="458"/>
      <c r="K27" s="458"/>
      <c r="L27" s="214"/>
      <c r="M27" s="70"/>
      <c r="N27" s="23">
        <f>IF(ISNA(VLOOKUP($C27,WOTS_Det!$C$17:$H$97,6,FALSE)),0,VLOOKUP($C27,WOTS_Det!$C$17:$H$97,6,FALSE))</f>
        <v>0</v>
      </c>
      <c r="O27" s="23">
        <f>IF(ISNA(VLOOKUP($C27,BDL_Det!$C$17:$H$107,6,FALSE)),0,VLOOKUP($C27,BDL_Det!$C$17:$H$107,6,FALSE))</f>
        <v>0</v>
      </c>
      <c r="P27" s="23">
        <f>IF(ISNA(VLOOKUP($C27,ELM_Det!$C$17:$H$101,6,FALSE)),0,VLOOKUP($C27,ELM_Det!$C$17:$H$101,6,FALSE))</f>
        <v>0</v>
      </c>
      <c r="Q27" s="23">
        <f>IF(ISNA(VLOOKUP($C27,RWN_Det!$C$17:$H$98,6,FALSE)),0,VLOOKUP($C27,RWN_Det!$C$17:$H$98,6,FALSE))</f>
        <v>0</v>
      </c>
      <c r="R27" s="23">
        <f>IF(ISNA(VLOOKUP($C27,KMS_Det!$C$17:$H$95,6,FALSE)),0,VLOOKUP($C27,KMS_Det!$C$17:$H$95,6,FALSE))</f>
        <v>0</v>
      </c>
      <c r="S27" s="23">
        <f>IF(ISNA(VLOOKUP($C27,WGI_Det!$C$17:$H$77,6,FALSE)),0,VLOOKUP($C27,WGI_Det!$C$17:$H$77,6,FALSE))</f>
        <v>0</v>
      </c>
      <c r="T27" s="23">
        <f>IF(ISNA(VLOOKUP($C27,BGE_Det!$C$17:$H$91,6,FALSE)),0,VLOOKUP($C27,BGE_Det!$C$17:$H$91,6,FALSE))</f>
        <v>0</v>
      </c>
      <c r="U27" s="23">
        <f>IF(ISNA(VLOOKUP($C27,LDL_Det!$C$17:$H$73,6,FALSE)),0,VLOOKUP($C27,LDL_Det!$C$17:$H$73,6,FALSE))</f>
        <v>0</v>
      </c>
      <c r="W27" s="235"/>
      <c r="X27" s="235"/>
      <c r="Y27" s="235"/>
    </row>
    <row r="28" spans="3:25" x14ac:dyDescent="0.25">
      <c r="C28" s="65" t="s">
        <v>147</v>
      </c>
      <c r="D28" s="65" t="s">
        <v>148</v>
      </c>
      <c r="E28" s="458"/>
      <c r="F28" s="66" t="s">
        <v>91</v>
      </c>
      <c r="G28" s="67" t="s">
        <v>3</v>
      </c>
      <c r="H28" s="68" t="s">
        <v>27</v>
      </c>
      <c r="I28" s="69">
        <f>'Unit_Rates - $2015'!I23*1/Escalators!$G$12</f>
        <v>91.292437209302321</v>
      </c>
      <c r="J28" s="458"/>
      <c r="K28" s="458"/>
      <c r="L28" s="2"/>
      <c r="M28" s="70"/>
      <c r="N28" s="23">
        <f>IF(ISNA(VLOOKUP($C28,WOTS_Det!$C$17:$H$97,6,FALSE)),0,VLOOKUP($C28,WOTS_Det!$C$17:$H$97,6,FALSE))</f>
        <v>0</v>
      </c>
      <c r="O28" s="23">
        <f>IF(ISNA(VLOOKUP($C28,BDL_Det!$C$17:$H$107,6,FALSE)),0,VLOOKUP($C28,BDL_Det!$C$17:$H$107,6,FALSE))</f>
        <v>0</v>
      </c>
      <c r="P28" s="23">
        <f>IF(ISNA(VLOOKUP($C28,ELM_Det!$C$17:$H$101,6,FALSE)),0,VLOOKUP($C28,ELM_Det!$C$17:$H$101,6,FALSE))</f>
        <v>0</v>
      </c>
      <c r="Q28" s="23">
        <f>IF(ISNA(VLOOKUP($C28,RWN_Det!$C$17:$H$98,6,FALSE)),0,VLOOKUP($C28,RWN_Det!$C$17:$H$98,6,FALSE))</f>
        <v>0</v>
      </c>
      <c r="R28" s="23">
        <f>IF(ISNA(VLOOKUP($C28,KMS_Det!$C$17:$H$95,6,FALSE)),0,VLOOKUP($C28,KMS_Det!$C$17:$H$95,6,FALSE))</f>
        <v>0</v>
      </c>
      <c r="S28" s="23">
        <f>IF(ISNA(VLOOKUP($C28,WGI_Det!$C$17:$H$77,6,FALSE)),0,VLOOKUP($C28,WGI_Det!$C$17:$H$77,6,FALSE))</f>
        <v>0</v>
      </c>
      <c r="T28" s="23">
        <f>IF(ISNA(VLOOKUP($C28,BGE_Det!$C$17:$H$91,6,FALSE)),0,VLOOKUP($C28,BGE_Det!$C$17:$H$91,6,FALSE))</f>
        <v>0</v>
      </c>
      <c r="U28" s="23">
        <f>IF(ISNA(VLOOKUP($C28,LDL_Det!$C$17:$H$73,6,FALSE)),0,VLOOKUP($C28,LDL_Det!$C$17:$H$73,6,FALSE))</f>
        <v>0</v>
      </c>
      <c r="W28" s="235"/>
      <c r="X28" s="235"/>
      <c r="Y28" s="235"/>
    </row>
    <row r="29" spans="3:25" x14ac:dyDescent="0.25">
      <c r="C29" s="65" t="s">
        <v>149</v>
      </c>
      <c r="D29" s="65" t="s">
        <v>149</v>
      </c>
      <c r="E29" s="458"/>
      <c r="F29" s="66" t="s">
        <v>91</v>
      </c>
      <c r="G29" s="67" t="s">
        <v>3</v>
      </c>
      <c r="H29" s="68" t="s">
        <v>27</v>
      </c>
      <c r="I29" s="69">
        <f>'Unit_Rates - $2015'!I24*1/Escalators!$G$12</f>
        <v>0</v>
      </c>
      <c r="J29" s="458"/>
      <c r="K29" s="458"/>
      <c r="L29" s="2"/>
      <c r="M29" s="70"/>
      <c r="N29" s="23">
        <f>IF(ISNA(VLOOKUP($C29,WOTS_Det!$C$17:$H$97,6,FALSE)),0,VLOOKUP($C29,WOTS_Det!$C$17:$H$97,6,FALSE))</f>
        <v>0</v>
      </c>
      <c r="O29" s="23">
        <f>IF(ISNA(VLOOKUP($C29,BDL_Det!$C$17:$H$107,6,FALSE)),0,VLOOKUP($C29,BDL_Det!$C$17:$H$107,6,FALSE))</f>
        <v>1</v>
      </c>
      <c r="P29" s="23">
        <f>IF(ISNA(VLOOKUP($C29,ELM_Det!$C$17:$H$101,6,FALSE)),0,VLOOKUP($C29,ELM_Det!$C$17:$H$101,6,FALSE))</f>
        <v>1</v>
      </c>
      <c r="Q29" s="23">
        <f>IF(ISNA(VLOOKUP($C29,RWN_Det!$C$17:$H$98,6,FALSE)),0,VLOOKUP($C29,RWN_Det!$C$17:$H$98,6,FALSE))</f>
        <v>0</v>
      </c>
      <c r="R29" s="23">
        <f>IF(ISNA(VLOOKUP($C29,KMS_Det!$C$17:$H$95,6,FALSE)),0,VLOOKUP($C29,KMS_Det!$C$17:$H$95,6,FALSE))</f>
        <v>0</v>
      </c>
      <c r="S29" s="23">
        <f>IF(ISNA(VLOOKUP($C29,WGI_Det!$C$17:$H$77,6,FALSE)),0,VLOOKUP($C29,WGI_Det!$C$17:$H$77,6,FALSE))</f>
        <v>0</v>
      </c>
      <c r="T29" s="23">
        <f>IF(ISNA(VLOOKUP($C29,BGE_Det!$C$17:$H$91,6,FALSE)),0,VLOOKUP($C29,BGE_Det!$C$17:$H$91,6,FALSE))</f>
        <v>0</v>
      </c>
      <c r="U29" s="23">
        <f>IF(ISNA(VLOOKUP($C29,LDL_Det!$C$17:$H$73,6,FALSE)),0,VLOOKUP($C29,LDL_Det!$C$17:$H$73,6,FALSE))</f>
        <v>0</v>
      </c>
      <c r="W29" s="235"/>
      <c r="X29" s="235"/>
      <c r="Y29" s="235"/>
    </row>
    <row r="30" spans="3:25" x14ac:dyDescent="0.25">
      <c r="C30" s="65" t="s">
        <v>150</v>
      </c>
      <c r="D30" s="65" t="s">
        <v>151</v>
      </c>
      <c r="E30" s="458"/>
      <c r="F30" s="66" t="s">
        <v>91</v>
      </c>
      <c r="G30" s="67" t="s">
        <v>3</v>
      </c>
      <c r="H30" s="68" t="s">
        <v>27</v>
      </c>
      <c r="I30" s="69">
        <f>'Unit_Rates - $2015'!I25*1/Escalators!$G$12</f>
        <v>107.00599999999997</v>
      </c>
      <c r="J30" s="458"/>
      <c r="K30" s="458"/>
      <c r="L30" s="2"/>
      <c r="M30" s="70"/>
      <c r="N30" s="23">
        <f>IF(ISNA(VLOOKUP($C30,WOTS_Det!$C$17:$H$97,6,FALSE)),0,VLOOKUP($C30,WOTS_Det!$C$17:$H$97,6,FALSE))</f>
        <v>0</v>
      </c>
      <c r="O30" s="23">
        <f>IF(ISNA(VLOOKUP($C30,BDL_Det!$C$17:$H$107,6,FALSE)),0,VLOOKUP($C30,BDL_Det!$C$17:$H$107,6,FALSE))</f>
        <v>0</v>
      </c>
      <c r="P30" s="23">
        <f>IF(ISNA(VLOOKUP($C30,ELM_Det!$C$17:$H$101,6,FALSE)),0,VLOOKUP($C30,ELM_Det!$C$17:$H$101,6,FALSE))</f>
        <v>0</v>
      </c>
      <c r="Q30" s="23">
        <f>IF(ISNA(VLOOKUP($C30,RWN_Det!$C$17:$H$98,6,FALSE)),0,VLOOKUP($C30,RWN_Det!$C$17:$H$98,6,FALSE))</f>
        <v>1</v>
      </c>
      <c r="R30" s="23">
        <f>IF(ISNA(VLOOKUP($C30,KMS_Det!$C$17:$H$95,6,FALSE)),0,VLOOKUP($C30,KMS_Det!$C$17:$H$95,6,FALSE))</f>
        <v>0</v>
      </c>
      <c r="S30" s="23">
        <f>IF(ISNA(VLOOKUP($C30,WGI_Det!$C$17:$H$77,6,FALSE)),0,VLOOKUP($C30,WGI_Det!$C$17:$H$77,6,FALSE))</f>
        <v>0</v>
      </c>
      <c r="T30" s="23">
        <f>IF(ISNA(VLOOKUP($C30,BGE_Det!$C$17:$H$91,6,FALSE)),0,VLOOKUP($C30,BGE_Det!$C$17:$H$91,6,FALSE))</f>
        <v>0</v>
      </c>
      <c r="U30" s="23">
        <f>IF(ISNA(VLOOKUP($C30,LDL_Det!$C$17:$H$73,6,FALSE)),0,VLOOKUP($C30,LDL_Det!$C$17:$H$73,6,FALSE))</f>
        <v>0</v>
      </c>
      <c r="W30" s="235"/>
      <c r="X30" s="235"/>
      <c r="Y30" s="235"/>
    </row>
    <row r="31" spans="3:25" x14ac:dyDescent="0.25">
      <c r="C31" s="65" t="s">
        <v>152</v>
      </c>
      <c r="D31" s="65" t="s">
        <v>153</v>
      </c>
      <c r="E31" s="458"/>
      <c r="F31" s="66" t="s">
        <v>91</v>
      </c>
      <c r="G31" s="67" t="s">
        <v>3</v>
      </c>
      <c r="H31" s="68" t="s">
        <v>27</v>
      </c>
      <c r="I31" s="69">
        <f>'Unit_Rates - $2015'!I26*1/Escalators!$G$12</f>
        <v>7.6639999999999979</v>
      </c>
      <c r="J31" s="458"/>
      <c r="K31" s="458"/>
      <c r="L31" s="2"/>
      <c r="M31" s="70"/>
      <c r="N31" s="23">
        <f>IF(ISNA(VLOOKUP($C31,WOTS_Det!$C$17:$H$97,6,FALSE)),0,VLOOKUP($C31,WOTS_Det!$C$17:$H$97,6,FALSE))</f>
        <v>4</v>
      </c>
      <c r="O31" s="23">
        <f>IF(ISNA(VLOOKUP($C31,BDL_Det!$C$17:$H$107,6,FALSE)),0,VLOOKUP($C31,BDL_Det!$C$17:$H$107,6,FALSE))</f>
        <v>0</v>
      </c>
      <c r="P31" s="23">
        <f>IF(ISNA(VLOOKUP($C31,ELM_Det!$C$17:$H$101,6,FALSE)),0,VLOOKUP($C31,ELM_Det!$C$17:$H$101,6,FALSE))</f>
        <v>2</v>
      </c>
      <c r="Q31" s="23">
        <f>IF(ISNA(VLOOKUP($C31,RWN_Det!$C$17:$H$98,6,FALSE)),0,VLOOKUP($C31,RWN_Det!$C$17:$H$98,6,FALSE))</f>
        <v>2</v>
      </c>
      <c r="R31" s="23">
        <f>IF(ISNA(VLOOKUP($C31,KMS_Det!$C$17:$H$95,6,FALSE)),0,VLOOKUP($C31,KMS_Det!$C$17:$H$95,6,FALSE))</f>
        <v>0</v>
      </c>
      <c r="S31" s="23">
        <f>IF(ISNA(VLOOKUP($C31,WGI_Det!$C$17:$H$77,6,FALSE)),0,VLOOKUP($C31,WGI_Det!$C$17:$H$77,6,FALSE))</f>
        <v>0</v>
      </c>
      <c r="T31" s="23">
        <f>IF(ISNA(VLOOKUP($C31,BGE_Det!$C$17:$H$91,6,FALSE)),0,VLOOKUP($C31,BGE_Det!$C$17:$H$91,6,FALSE))</f>
        <v>2</v>
      </c>
      <c r="U31" s="23">
        <f>IF(ISNA(VLOOKUP($C31,LDL_Det!$C$17:$H$73,6,FALSE)),0,VLOOKUP($C31,LDL_Det!$C$17:$H$73,6,FALSE))</f>
        <v>0</v>
      </c>
      <c r="W31" s="235"/>
      <c r="X31" s="235"/>
      <c r="Y31" s="235"/>
    </row>
    <row r="32" spans="3:25" x14ac:dyDescent="0.25">
      <c r="C32" s="65" t="s">
        <v>154</v>
      </c>
      <c r="D32" s="65" t="s">
        <v>154</v>
      </c>
      <c r="E32" s="458"/>
      <c r="F32" s="66" t="s">
        <v>91</v>
      </c>
      <c r="G32" s="67" t="s">
        <v>3</v>
      </c>
      <c r="H32" s="68" t="s">
        <v>27</v>
      </c>
      <c r="I32" s="69">
        <f>'Unit_Rates - $2015'!I27*1/Escalators!$G$12</f>
        <v>0</v>
      </c>
      <c r="J32" s="458"/>
      <c r="K32" s="458"/>
      <c r="L32" s="2"/>
      <c r="M32" s="70"/>
      <c r="N32" s="23">
        <f>IF(ISNA(VLOOKUP($C32,WOTS_Det!$C$17:$H$97,6,FALSE)),0,VLOOKUP($C32,WOTS_Det!$C$17:$H$97,6,FALSE))</f>
        <v>0</v>
      </c>
      <c r="O32" s="23">
        <f>IF(ISNA(VLOOKUP($C32,BDL_Det!$C$17:$H$107,6,FALSE)),0,VLOOKUP($C32,BDL_Det!$C$17:$H$107,6,FALSE))</f>
        <v>0</v>
      </c>
      <c r="P32" s="23">
        <f>IF(ISNA(VLOOKUP($C32,ELM_Det!$C$17:$H$101,6,FALSE)),0,VLOOKUP($C32,ELM_Det!$C$17:$H$101,6,FALSE))</f>
        <v>0</v>
      </c>
      <c r="Q32" s="23">
        <f>IF(ISNA(VLOOKUP($C32,RWN_Det!$C$17:$H$98,6,FALSE)),0,VLOOKUP($C32,RWN_Det!$C$17:$H$98,6,FALSE))</f>
        <v>0</v>
      </c>
      <c r="R32" s="23">
        <f>IF(ISNA(VLOOKUP($C32,KMS_Det!$C$17:$H$95,6,FALSE)),0,VLOOKUP($C32,KMS_Det!$C$17:$H$95,6,FALSE))</f>
        <v>0</v>
      </c>
      <c r="S32" s="23">
        <f>IF(ISNA(VLOOKUP($C32,WGI_Det!$C$17:$H$77,6,FALSE)),0,VLOOKUP($C32,WGI_Det!$C$17:$H$77,6,FALSE))</f>
        <v>0</v>
      </c>
      <c r="T32" s="23">
        <f>IF(ISNA(VLOOKUP($C32,BGE_Det!$C$17:$H$91,6,FALSE)),0,VLOOKUP($C32,BGE_Det!$C$17:$H$91,6,FALSE))</f>
        <v>0</v>
      </c>
      <c r="U32" s="23">
        <f>IF(ISNA(VLOOKUP($C32,LDL_Det!$C$17:$H$73,6,FALSE)),0,VLOOKUP($C32,LDL_Det!$C$17:$H$73,6,FALSE))</f>
        <v>0</v>
      </c>
      <c r="W32" s="235"/>
      <c r="X32" s="235"/>
      <c r="Y32" s="235"/>
    </row>
    <row r="33" spans="2:25" x14ac:dyDescent="0.25">
      <c r="C33" s="65" t="s">
        <v>155</v>
      </c>
      <c r="D33" s="65" t="s">
        <v>155</v>
      </c>
      <c r="E33" s="458"/>
      <c r="F33" s="66" t="s">
        <v>91</v>
      </c>
      <c r="G33" s="67" t="s">
        <v>3</v>
      </c>
      <c r="H33" s="68" t="s">
        <v>27</v>
      </c>
      <c r="I33" s="69">
        <f>'Unit_Rates - $2015'!I28*1/Escalators!$G$12</f>
        <v>0</v>
      </c>
      <c r="J33" s="458"/>
      <c r="K33" s="458"/>
      <c r="L33" s="2"/>
      <c r="M33" s="70"/>
      <c r="N33" s="23">
        <f>IF(ISNA(VLOOKUP($C33,WOTS_Det!$C$17:$H$97,6,FALSE)),0,VLOOKUP($C33,WOTS_Det!$C$17:$H$97,6,FALSE))</f>
        <v>2</v>
      </c>
      <c r="O33" s="23">
        <f>IF(ISNA(VLOOKUP($C33,BDL_Det!$C$17:$H$107,6,FALSE)),0,VLOOKUP($C33,BDL_Det!$C$17:$H$107,6,FALSE))</f>
        <v>0</v>
      </c>
      <c r="P33" s="23">
        <f>IF(ISNA(VLOOKUP($C33,ELM_Det!$C$17:$H$101,6,FALSE)),0,VLOOKUP($C33,ELM_Det!$C$17:$H$101,6,FALSE))</f>
        <v>0</v>
      </c>
      <c r="Q33" s="23">
        <f>IF(ISNA(VLOOKUP($C33,RWN_Det!$C$17:$H$98,6,FALSE)),0,VLOOKUP($C33,RWN_Det!$C$17:$H$98,6,FALSE))</f>
        <v>1</v>
      </c>
      <c r="R33" s="23">
        <f>IF(ISNA(VLOOKUP($C33,KMS_Det!$C$17:$H$95,6,FALSE)),0,VLOOKUP($C33,KMS_Det!$C$17:$H$95,6,FALSE))</f>
        <v>0</v>
      </c>
      <c r="S33" s="23">
        <f>IF(ISNA(VLOOKUP($C33,WGI_Det!$C$17:$H$77,6,FALSE)),0,VLOOKUP($C33,WGI_Det!$C$17:$H$77,6,FALSE))</f>
        <v>0</v>
      </c>
      <c r="T33" s="23">
        <f>IF(ISNA(VLOOKUP($C33,BGE_Det!$C$17:$H$91,6,FALSE)),0,VLOOKUP($C33,BGE_Det!$C$17:$H$91,6,FALSE))</f>
        <v>1</v>
      </c>
      <c r="U33" s="23">
        <f>IF(ISNA(VLOOKUP($C33,LDL_Det!$C$17:$H$73,6,FALSE)),0,VLOOKUP($C33,LDL_Det!$C$17:$H$73,6,FALSE))</f>
        <v>0</v>
      </c>
      <c r="W33" s="235"/>
      <c r="X33" s="235"/>
      <c r="Y33" s="235"/>
    </row>
    <row r="34" spans="2:25" x14ac:dyDescent="0.25">
      <c r="C34" s="65" t="s">
        <v>156</v>
      </c>
      <c r="D34" s="65" t="s">
        <v>156</v>
      </c>
      <c r="E34" s="458"/>
      <c r="F34" s="66" t="s">
        <v>91</v>
      </c>
      <c r="G34" s="67" t="s">
        <v>3</v>
      </c>
      <c r="H34" s="68" t="s">
        <v>27</v>
      </c>
      <c r="I34" s="69">
        <f>'Unit_Rates - $2015'!I29*1/Escalators!$G$12</f>
        <v>27.162999999999993</v>
      </c>
      <c r="J34" s="458"/>
      <c r="K34" s="458"/>
      <c r="L34" s="2"/>
      <c r="M34" s="70"/>
      <c r="N34" s="23">
        <f>IF(ISNA(VLOOKUP($C34,WOTS_Det!$C$17:$H$97,6,FALSE)),0,VLOOKUP($C34,WOTS_Det!$C$17:$H$97,6,FALSE))</f>
        <v>2</v>
      </c>
      <c r="O34" s="23">
        <f>IF(ISNA(VLOOKUP($C34,BDL_Det!$C$17:$H$107,6,FALSE)),0,VLOOKUP($C34,BDL_Det!$C$17:$H$107,6,FALSE))</f>
        <v>0</v>
      </c>
      <c r="P34" s="23">
        <f>IF(ISNA(VLOOKUP($C34,ELM_Det!$C$17:$H$101,6,FALSE)),0,VLOOKUP($C34,ELM_Det!$C$17:$H$101,6,FALSE))</f>
        <v>0</v>
      </c>
      <c r="Q34" s="23">
        <f>IF(ISNA(VLOOKUP($C34,RWN_Det!$C$17:$H$98,6,FALSE)),0,VLOOKUP($C34,RWN_Det!$C$17:$H$98,6,FALSE))</f>
        <v>0</v>
      </c>
      <c r="R34" s="23">
        <f>IF(ISNA(VLOOKUP($C34,KMS_Det!$C$17:$H$95,6,FALSE)),0,VLOOKUP($C34,KMS_Det!$C$17:$H$95,6,FALSE))</f>
        <v>0</v>
      </c>
      <c r="S34" s="23">
        <f>IF(ISNA(VLOOKUP($C34,WGI_Det!$C$17:$H$77,6,FALSE)),0,VLOOKUP($C34,WGI_Det!$C$17:$H$77,6,FALSE))</f>
        <v>4</v>
      </c>
      <c r="T34" s="23">
        <f>IF(ISNA(VLOOKUP($C34,BGE_Det!$C$17:$H$91,6,FALSE)),0,VLOOKUP($C34,BGE_Det!$C$17:$H$91,6,FALSE))</f>
        <v>1</v>
      </c>
      <c r="U34" s="23">
        <f>IF(ISNA(VLOOKUP($C34,LDL_Det!$C$17:$H$73,6,FALSE)),0,VLOOKUP($C34,LDL_Det!$C$17:$H$73,6,FALSE))</f>
        <v>0</v>
      </c>
      <c r="W34" s="235"/>
      <c r="X34" s="235"/>
      <c r="Y34" s="235"/>
    </row>
    <row r="35" spans="2:25" x14ac:dyDescent="0.25">
      <c r="C35" s="65" t="s">
        <v>157</v>
      </c>
      <c r="D35" s="65" t="s">
        <v>158</v>
      </c>
      <c r="E35" s="458"/>
      <c r="F35" s="66" t="s">
        <v>91</v>
      </c>
      <c r="G35" s="67" t="s">
        <v>3</v>
      </c>
      <c r="H35" s="68" t="s">
        <v>27</v>
      </c>
      <c r="I35" s="69">
        <f>'Unit_Rates - $2015'!I30*1/Escalators!$G$12</f>
        <v>0</v>
      </c>
      <c r="J35" s="458"/>
      <c r="K35" s="458"/>
      <c r="L35" s="2"/>
      <c r="M35" s="70"/>
      <c r="N35" s="23">
        <f>IF(ISNA(VLOOKUP($C35,WOTS_Det!$C$17:$H$97,6,FALSE)),0,VLOOKUP($C35,WOTS_Det!$C$17:$H$97,6,FALSE))</f>
        <v>0</v>
      </c>
      <c r="O35" s="23">
        <f>IF(ISNA(VLOOKUP($C35,BDL_Det!$C$17:$H$107,6,FALSE)),0,VLOOKUP($C35,BDL_Det!$C$17:$H$107,6,FALSE))</f>
        <v>0</v>
      </c>
      <c r="P35" s="23">
        <f>IF(ISNA(VLOOKUP($C35,ELM_Det!$C$17:$H$101,6,FALSE)),0,VLOOKUP($C35,ELM_Det!$C$17:$H$101,6,FALSE))</f>
        <v>0</v>
      </c>
      <c r="Q35" s="23">
        <f>IF(ISNA(VLOOKUP($C35,RWN_Det!$C$17:$H$98,6,FALSE)),0,VLOOKUP($C35,RWN_Det!$C$17:$H$98,6,FALSE))</f>
        <v>1</v>
      </c>
      <c r="R35" s="23">
        <f>IF(ISNA(VLOOKUP($C35,KMS_Det!$C$17:$H$95,6,FALSE)),0,VLOOKUP($C35,KMS_Det!$C$17:$H$95,6,FALSE))</f>
        <v>0</v>
      </c>
      <c r="S35" s="23">
        <f>IF(ISNA(VLOOKUP($C35,WGI_Det!$C$17:$H$77,6,FALSE)),0,VLOOKUP($C35,WGI_Det!$C$17:$H$77,6,FALSE))</f>
        <v>0</v>
      </c>
      <c r="T35" s="23">
        <f>IF(ISNA(VLOOKUP($C35,BGE_Det!$C$17:$H$91,6,FALSE)),0,VLOOKUP($C35,BGE_Det!$C$17:$H$91,6,FALSE))</f>
        <v>0</v>
      </c>
      <c r="U35" s="23">
        <f>IF(ISNA(VLOOKUP($C35,LDL_Det!$C$17:$H$73,6,FALSE)),0,VLOOKUP($C35,LDL_Det!$C$17:$H$73,6,FALSE))</f>
        <v>0</v>
      </c>
      <c r="W35" s="235"/>
      <c r="X35" s="235"/>
      <c r="Y35" s="235"/>
    </row>
    <row r="36" spans="2:25" x14ac:dyDescent="0.25">
      <c r="C36" s="65" t="s">
        <v>159</v>
      </c>
      <c r="D36" s="65" t="s">
        <v>159</v>
      </c>
      <c r="E36" s="458"/>
      <c r="F36" s="66" t="s">
        <v>91</v>
      </c>
      <c r="G36" s="67" t="s">
        <v>3</v>
      </c>
      <c r="H36" s="68" t="s">
        <v>27</v>
      </c>
      <c r="I36" s="69">
        <f>'Unit_Rates - $2015'!I31*1/Escalators!$G$12</f>
        <v>0.61999999999999977</v>
      </c>
      <c r="J36" s="458"/>
      <c r="K36" s="458"/>
      <c r="L36" s="2"/>
      <c r="M36" s="70"/>
      <c r="N36" s="23">
        <f>IF(ISNA(VLOOKUP($C36,WOTS_Det!$C$17:$H$97,6,FALSE)),0,VLOOKUP($C36,WOTS_Det!$C$17:$H$97,6,FALSE))</f>
        <v>2</v>
      </c>
      <c r="O36" s="23">
        <f>IF(ISNA(VLOOKUP($C36,BDL_Det!$C$17:$H$107,6,FALSE)),0,VLOOKUP($C36,BDL_Det!$C$17:$H$107,6,FALSE))</f>
        <v>0</v>
      </c>
      <c r="P36" s="23">
        <f>IF(ISNA(VLOOKUP($C36,ELM_Det!$C$17:$H$101,6,FALSE)),0,VLOOKUP($C36,ELM_Det!$C$17:$H$101,6,FALSE))</f>
        <v>0</v>
      </c>
      <c r="Q36" s="23">
        <f>IF(ISNA(VLOOKUP($C36,RWN_Det!$C$17:$H$98,6,FALSE)),0,VLOOKUP($C36,RWN_Det!$C$17:$H$98,6,FALSE))</f>
        <v>3</v>
      </c>
      <c r="R36" s="23">
        <f>IF(ISNA(VLOOKUP($C36,KMS_Det!$C$17:$H$95,6,FALSE)),0,VLOOKUP($C36,KMS_Det!$C$17:$H$95,6,FALSE))</f>
        <v>0</v>
      </c>
      <c r="S36" s="23">
        <f>IF(ISNA(VLOOKUP($C36,WGI_Det!$C$17:$H$77,6,FALSE)),0,VLOOKUP($C36,WGI_Det!$C$17:$H$77,6,FALSE))</f>
        <v>0</v>
      </c>
      <c r="T36" s="23">
        <f>IF(ISNA(VLOOKUP($C36,BGE_Det!$C$17:$H$91,6,FALSE)),0,VLOOKUP($C36,BGE_Det!$C$17:$H$91,6,FALSE))</f>
        <v>1</v>
      </c>
      <c r="U36" s="23">
        <f>IF(ISNA(VLOOKUP($C36,LDL_Det!$C$17:$H$73,6,FALSE)),0,VLOOKUP($C36,LDL_Det!$C$17:$H$73,6,FALSE))</f>
        <v>0</v>
      </c>
      <c r="W36" s="235"/>
      <c r="X36" s="235"/>
      <c r="Y36" s="235"/>
    </row>
    <row r="37" spans="2:25" x14ac:dyDescent="0.25">
      <c r="C37" s="65" t="s">
        <v>160</v>
      </c>
      <c r="D37" s="65" t="s">
        <v>160</v>
      </c>
      <c r="E37" s="458"/>
      <c r="F37" s="66" t="s">
        <v>91</v>
      </c>
      <c r="G37" s="67" t="s">
        <v>3</v>
      </c>
      <c r="H37" s="68" t="s">
        <v>27</v>
      </c>
      <c r="I37" s="69">
        <f>'Unit_Rates - $2015'!I32*1/Escalators!$G$12</f>
        <v>26.222306976744186</v>
      </c>
      <c r="J37" s="458"/>
      <c r="K37" s="458"/>
      <c r="L37" s="2"/>
      <c r="M37" s="70"/>
      <c r="N37" s="23">
        <f>IF(ISNA(VLOOKUP($C37,WOTS_Det!$C$17:$H$97,6,FALSE)),0,VLOOKUP($C37,WOTS_Det!$C$17:$H$97,6,FALSE))</f>
        <v>0</v>
      </c>
      <c r="O37" s="23">
        <f>IF(ISNA(VLOOKUP($C37,BDL_Det!$C$17:$H$107,6,FALSE)),0,VLOOKUP($C37,BDL_Det!$C$17:$H$107,6,FALSE))</f>
        <v>0</v>
      </c>
      <c r="P37" s="23">
        <f>IF(ISNA(VLOOKUP($C37,ELM_Det!$C$17:$H$101,6,FALSE)),0,VLOOKUP($C37,ELM_Det!$C$17:$H$101,6,FALSE))</f>
        <v>0</v>
      </c>
      <c r="Q37" s="23">
        <f>IF(ISNA(VLOOKUP($C37,RWN_Det!$C$17:$H$98,6,FALSE)),0,VLOOKUP($C37,RWN_Det!$C$17:$H$98,6,FALSE))</f>
        <v>0</v>
      </c>
      <c r="R37" s="23">
        <f>IF(ISNA(VLOOKUP($C37,KMS_Det!$C$17:$H$95,6,FALSE)),0,VLOOKUP($C37,KMS_Det!$C$17:$H$95,6,FALSE))</f>
        <v>0</v>
      </c>
      <c r="S37" s="23">
        <f>IF(ISNA(VLOOKUP($C37,WGI_Det!$C$17:$H$77,6,FALSE)),0,VLOOKUP($C37,WGI_Det!$C$17:$H$77,6,FALSE))</f>
        <v>1</v>
      </c>
      <c r="T37" s="23">
        <f>IF(ISNA(VLOOKUP($C37,BGE_Det!$C$17:$H$91,6,FALSE)),0,VLOOKUP($C37,BGE_Det!$C$17:$H$91,6,FALSE))</f>
        <v>0</v>
      </c>
      <c r="U37" s="23">
        <f>IF(ISNA(VLOOKUP($C37,LDL_Det!$C$17:$H$73,6,FALSE)),0,VLOOKUP($C37,LDL_Det!$C$17:$H$73,6,FALSE))</f>
        <v>0</v>
      </c>
      <c r="W37" s="235"/>
      <c r="X37" s="235"/>
      <c r="Y37" s="235"/>
    </row>
    <row r="38" spans="2:25" x14ac:dyDescent="0.25">
      <c r="C38" s="65" t="s">
        <v>161</v>
      </c>
      <c r="D38" s="65" t="s">
        <v>162</v>
      </c>
      <c r="E38" s="458"/>
      <c r="F38" s="66" t="s">
        <v>91</v>
      </c>
      <c r="G38" s="67" t="s">
        <v>3</v>
      </c>
      <c r="H38" s="68" t="s">
        <v>27</v>
      </c>
      <c r="I38" s="69">
        <f>'Unit_Rates - $2015'!I33*1/Escalators!$G$12</f>
        <v>93.853999999999985</v>
      </c>
      <c r="J38" s="459"/>
      <c r="K38" s="458"/>
      <c r="L38" s="2"/>
      <c r="M38" s="70"/>
      <c r="N38" s="23">
        <f>IF(ISNA(VLOOKUP($C38,WOTS_Det!$C$17:$H$97,6,FALSE)),0,VLOOKUP($C38,WOTS_Det!$C$17:$H$97,6,FALSE))</f>
        <v>0</v>
      </c>
      <c r="O38" s="23">
        <f>IF(ISNA(VLOOKUP($C38,BDL_Det!$C$17:$H$107,6,FALSE)),0,VLOOKUP($C38,BDL_Det!$C$17:$H$107,6,FALSE))</f>
        <v>1</v>
      </c>
      <c r="P38" s="23">
        <f>IF(ISNA(VLOOKUP($C38,ELM_Det!$C$17:$H$101,6,FALSE)),0,VLOOKUP($C38,ELM_Det!$C$17:$H$101,6,FALSE))</f>
        <v>1</v>
      </c>
      <c r="Q38" s="23">
        <f>IF(ISNA(VLOOKUP($C38,RWN_Det!$C$17:$H$98,6,FALSE)),0,VLOOKUP($C38,RWN_Det!$C$17:$H$98,6,FALSE))</f>
        <v>1</v>
      </c>
      <c r="R38" s="23">
        <f>IF(ISNA(VLOOKUP($C38,KMS_Det!$C$17:$H$95,6,FALSE)),0,VLOOKUP($C38,KMS_Det!$C$17:$H$95,6,FALSE))</f>
        <v>0</v>
      </c>
      <c r="S38" s="23">
        <f>IF(ISNA(VLOOKUP($C38,WGI_Det!$C$17:$H$77,6,FALSE)),0,VLOOKUP($C38,WGI_Det!$C$17:$H$77,6,FALSE))</f>
        <v>1</v>
      </c>
      <c r="T38" s="23">
        <f>IF(ISNA(VLOOKUP($C38,BGE_Det!$C$17:$H$91,6,FALSE)),0,VLOOKUP($C38,BGE_Det!$C$17:$H$91,6,FALSE))</f>
        <v>0</v>
      </c>
      <c r="U38" s="23">
        <f>IF(ISNA(VLOOKUP($C38,LDL_Det!$C$17:$H$73,6,FALSE)),0,VLOOKUP($C38,LDL_Det!$C$17:$H$73,6,FALSE))</f>
        <v>0</v>
      </c>
      <c r="W38" s="235"/>
      <c r="X38" s="235"/>
      <c r="Y38" s="235"/>
    </row>
    <row r="39" spans="2:25" x14ac:dyDescent="0.25">
      <c r="C39" s="65" t="s">
        <v>163</v>
      </c>
      <c r="D39" s="65" t="s">
        <v>164</v>
      </c>
      <c r="E39" s="458"/>
      <c r="F39" s="66" t="s">
        <v>91</v>
      </c>
      <c r="G39" s="67" t="s">
        <v>3</v>
      </c>
      <c r="H39" s="68" t="s">
        <v>27</v>
      </c>
      <c r="I39" s="69">
        <f>'Unit_Rates - $2015'!I34*1/Escalators!$G$12</f>
        <v>0</v>
      </c>
      <c r="J39" s="458"/>
      <c r="K39" s="458"/>
      <c r="L39" s="2"/>
      <c r="M39" s="70"/>
      <c r="N39" s="23">
        <f>IF(ISNA(VLOOKUP($C39,WOTS_Det!$C$17:$H$97,6,FALSE)),0,VLOOKUP($C39,WOTS_Det!$C$17:$H$97,6,FALSE))</f>
        <v>0</v>
      </c>
      <c r="O39" s="23">
        <f>IF(ISNA(VLOOKUP($C39,BDL_Det!$C$17:$H$107,6,FALSE)),0,VLOOKUP($C39,BDL_Det!$C$17:$H$107,6,FALSE))</f>
        <v>1</v>
      </c>
      <c r="P39" s="23">
        <f>IF(ISNA(VLOOKUP($C39,ELM_Det!$C$17:$H$101,6,FALSE)),0,VLOOKUP($C39,ELM_Det!$C$17:$H$101,6,FALSE))</f>
        <v>1</v>
      </c>
      <c r="Q39" s="23">
        <f>IF(ISNA(VLOOKUP($C39,RWN_Det!$C$17:$H$98,6,FALSE)),0,VLOOKUP($C39,RWN_Det!$C$17:$H$98,6,FALSE))</f>
        <v>0</v>
      </c>
      <c r="R39" s="23">
        <f>IF(ISNA(VLOOKUP($C39,KMS_Det!$C$17:$H$95,6,FALSE)),0,VLOOKUP($C39,KMS_Det!$C$17:$H$95,6,FALSE))</f>
        <v>0</v>
      </c>
      <c r="S39" s="23">
        <f>IF(ISNA(VLOOKUP($C39,WGI_Det!$C$17:$H$77,6,FALSE)),0,VLOOKUP($C39,WGI_Det!$C$17:$H$77,6,FALSE))</f>
        <v>0</v>
      </c>
      <c r="T39" s="23">
        <f>IF(ISNA(VLOOKUP($C39,BGE_Det!$C$17:$H$91,6,FALSE)),0,VLOOKUP($C39,BGE_Det!$C$17:$H$91,6,FALSE))</f>
        <v>0</v>
      </c>
      <c r="U39" s="23">
        <f>IF(ISNA(VLOOKUP($C39,LDL_Det!$C$17:$H$73,6,FALSE)),0,VLOOKUP($C39,LDL_Det!$C$17:$H$73,6,FALSE))</f>
        <v>0</v>
      </c>
      <c r="W39" s="235"/>
      <c r="X39" s="235"/>
      <c r="Y39" s="235"/>
    </row>
    <row r="40" spans="2:25" x14ac:dyDescent="0.25">
      <c r="C40" s="65" t="s">
        <v>165</v>
      </c>
      <c r="D40" s="65" t="s">
        <v>166</v>
      </c>
      <c r="E40" s="458"/>
      <c r="F40" s="66" t="s">
        <v>91</v>
      </c>
      <c r="G40" s="67" t="s">
        <v>3</v>
      </c>
      <c r="H40" s="68" t="s">
        <v>27</v>
      </c>
      <c r="I40" s="69">
        <f>'Unit_Rates - $2015'!I35*1/Escalators!$G$12</f>
        <v>0</v>
      </c>
      <c r="J40" s="458"/>
      <c r="K40" s="458"/>
      <c r="L40" s="2"/>
      <c r="M40" s="70"/>
      <c r="N40" s="23">
        <f>IF(ISNA(VLOOKUP($C40,WOTS_Det!$C$17:$H$97,6,FALSE)),0,VLOOKUP($C40,WOTS_Det!$C$17:$H$97,6,FALSE))</f>
        <v>0</v>
      </c>
      <c r="O40" s="23">
        <f>IF(ISNA(VLOOKUP($C40,BDL_Det!$C$17:$H$107,6,FALSE)),0,VLOOKUP($C40,BDL_Det!$C$17:$H$107,6,FALSE))</f>
        <v>0</v>
      </c>
      <c r="P40" s="23">
        <f>IF(ISNA(VLOOKUP($C40,ELM_Det!$C$17:$H$101,6,FALSE)),0,VLOOKUP($C40,ELM_Det!$C$17:$H$101,6,FALSE))</f>
        <v>0</v>
      </c>
      <c r="Q40" s="23">
        <f>IF(ISNA(VLOOKUP($C40,RWN_Det!$C$17:$H$98,6,FALSE)),0,VLOOKUP($C40,RWN_Det!$C$17:$H$98,6,FALSE))</f>
        <v>0</v>
      </c>
      <c r="R40" s="23">
        <f>IF(ISNA(VLOOKUP($C40,KMS_Det!$C$17:$H$95,6,FALSE)),0,VLOOKUP($C40,KMS_Det!$C$17:$H$95,6,FALSE))</f>
        <v>0</v>
      </c>
      <c r="S40" s="23">
        <f>IF(ISNA(VLOOKUP($C40,WGI_Det!$C$17:$H$77,6,FALSE)),0,VLOOKUP($C40,WGI_Det!$C$17:$H$77,6,FALSE))</f>
        <v>0</v>
      </c>
      <c r="T40" s="23">
        <f>IF(ISNA(VLOOKUP($C40,BGE_Det!$C$17:$H$91,6,FALSE)),0,VLOOKUP($C40,BGE_Det!$C$17:$H$91,6,FALSE))</f>
        <v>0</v>
      </c>
      <c r="U40" s="23">
        <f>IF(ISNA(VLOOKUP($C40,LDL_Det!$C$17:$H$73,6,FALSE)),0,VLOOKUP($C40,LDL_Det!$C$17:$H$73,6,FALSE))</f>
        <v>0</v>
      </c>
      <c r="W40" s="235"/>
      <c r="X40" s="235"/>
      <c r="Y40" s="235"/>
    </row>
    <row r="41" spans="2:25" x14ac:dyDescent="0.25">
      <c r="B41" s="387" t="s">
        <v>497</v>
      </c>
      <c r="C41" s="316" t="s">
        <v>441</v>
      </c>
      <c r="D41" s="316" t="s">
        <v>442</v>
      </c>
      <c r="E41" s="458"/>
      <c r="F41" s="429" t="s">
        <v>91</v>
      </c>
      <c r="G41" s="430" t="s">
        <v>3</v>
      </c>
      <c r="H41" s="412" t="s">
        <v>27</v>
      </c>
      <c r="I41" s="69">
        <v>109.17591463414668</v>
      </c>
      <c r="J41" s="458"/>
      <c r="K41" s="458"/>
      <c r="L41" s="403"/>
      <c r="M41" s="70"/>
      <c r="N41" s="23">
        <f>IF(ISNA(VLOOKUP($C41,WOTS_Det!$C$17:$H$97,6,FALSE)),0,VLOOKUP($C41,WOTS_Det!$C$17:$H$97,6,FALSE))</f>
        <v>2</v>
      </c>
      <c r="O41" s="23">
        <f>IF(ISNA(VLOOKUP($C41,BDL_Det!$C$17:$H$107,6,FALSE)),0,VLOOKUP($C41,BDL_Det!$C$17:$H$107,6,FALSE))</f>
        <v>0</v>
      </c>
      <c r="P41" s="23">
        <f>IF(ISNA(VLOOKUP($C41,ELM_Det!$C$17:$H$101,6,FALSE)),0,VLOOKUP($C41,ELM_Det!$C$17:$H$101,6,FALSE))</f>
        <v>0</v>
      </c>
      <c r="Q41" s="23">
        <f>IF(ISNA(VLOOKUP($C41,RWN_Det!$C$17:$H$98,6,FALSE)),0,VLOOKUP($C41,RWN_Det!$C$17:$H$98,6,FALSE))</f>
        <v>0</v>
      </c>
      <c r="R41" s="23">
        <f>IF(ISNA(VLOOKUP($C41,KMS_Det!$C$17:$H$95,6,FALSE)),0,VLOOKUP($C41,KMS_Det!$C$17:$H$95,6,FALSE))</f>
        <v>1</v>
      </c>
      <c r="S41" s="23">
        <f>IF(ISNA(VLOOKUP($C41,WGI_Det!$C$17:$H$77,6,FALSE)),0,VLOOKUP($C41,WGI_Det!$C$17:$H$77,6,FALSE))</f>
        <v>1</v>
      </c>
      <c r="T41" s="23">
        <f>IF(ISNA(VLOOKUP($C41,BGE_Det!$C$17:$H$91,6,FALSE)),0,VLOOKUP($C41,BGE_Det!$C$17:$H$91,6,FALSE))</f>
        <v>1</v>
      </c>
      <c r="U41" s="23">
        <f>IF(ISNA(VLOOKUP($C41,LDL_Det!$C$17:$H$73,6,FALSE)),0,VLOOKUP($C41,LDL_Det!$C$17:$H$73,6,FALSE))</f>
        <v>0</v>
      </c>
      <c r="W41" s="235"/>
      <c r="X41" s="235"/>
      <c r="Y41" s="235"/>
    </row>
    <row r="42" spans="2:25" x14ac:dyDescent="0.25">
      <c r="C42" s="65" t="s">
        <v>167</v>
      </c>
      <c r="D42" s="65" t="s">
        <v>168</v>
      </c>
      <c r="E42" s="458"/>
      <c r="F42" s="66" t="s">
        <v>91</v>
      </c>
      <c r="G42" s="67" t="s">
        <v>3</v>
      </c>
      <c r="H42" s="68" t="s">
        <v>27</v>
      </c>
      <c r="I42" s="69">
        <f>'Unit_Rates - $2015'!I36*1/Escalators!$G$12</f>
        <v>227.62999999999997</v>
      </c>
      <c r="J42" s="459"/>
      <c r="K42" s="458"/>
      <c r="L42" s="2"/>
      <c r="M42" s="70"/>
      <c r="N42" s="23">
        <f>IF(ISNA(VLOOKUP($C42,WOTS_Det!$C$17:$H$97,6,FALSE)),0,VLOOKUP($C42,WOTS_Det!$C$17:$H$97,6,FALSE))</f>
        <v>0</v>
      </c>
      <c r="O42" s="23">
        <f>IF(ISNA(VLOOKUP($C42,BDL_Det!$C$17:$H$107,6,FALSE)),0,VLOOKUP($C42,BDL_Det!$C$17:$H$107,6,FALSE))</f>
        <v>0</v>
      </c>
      <c r="P42" s="23">
        <f>IF(ISNA(VLOOKUP($C42,ELM_Det!$C$17:$H$101,6,FALSE)),0,VLOOKUP($C42,ELM_Det!$C$17:$H$101,6,FALSE))</f>
        <v>0</v>
      </c>
      <c r="Q42" s="23">
        <f>IF(ISNA(VLOOKUP($C42,RWN_Det!$C$17:$H$98,6,FALSE)),0,VLOOKUP($C42,RWN_Det!$C$17:$H$98,6,FALSE))</f>
        <v>0</v>
      </c>
      <c r="R42" s="23">
        <f>IF(ISNA(VLOOKUP($C42,KMS_Det!$C$17:$H$95,6,FALSE)),0,VLOOKUP($C42,KMS_Det!$C$17:$H$95,6,FALSE))</f>
        <v>0</v>
      </c>
      <c r="S42" s="23">
        <f>IF(ISNA(VLOOKUP($C42,WGI_Det!$C$17:$H$77,6,FALSE)),0,VLOOKUP($C42,WGI_Det!$C$17:$H$77,6,FALSE))</f>
        <v>0</v>
      </c>
      <c r="T42" s="23">
        <f>IF(ISNA(VLOOKUP($C42,BGE_Det!$C$17:$H$91,6,FALSE)),0,VLOOKUP($C42,BGE_Det!$C$17:$H$91,6,FALSE))</f>
        <v>0</v>
      </c>
      <c r="U42" s="23">
        <f>IF(ISNA(VLOOKUP($C42,LDL_Det!$C$17:$H$73,6,FALSE)),0,VLOOKUP($C42,LDL_Det!$C$17:$H$73,6,FALSE))</f>
        <v>0</v>
      </c>
      <c r="W42" s="235"/>
      <c r="X42" s="235"/>
      <c r="Y42" s="235"/>
    </row>
    <row r="43" spans="2:25" x14ac:dyDescent="0.25">
      <c r="C43" s="65" t="s">
        <v>169</v>
      </c>
      <c r="D43" s="65" t="s">
        <v>170</v>
      </c>
      <c r="E43" s="458"/>
      <c r="F43" s="66" t="s">
        <v>91</v>
      </c>
      <c r="G43" s="67" t="s">
        <v>3</v>
      </c>
      <c r="H43" s="68" t="s">
        <v>27</v>
      </c>
      <c r="I43" s="69">
        <f>'Unit_Rates - $2015'!I37*1/Escalators!$G$12</f>
        <v>174.5855255813953</v>
      </c>
      <c r="J43" s="459"/>
      <c r="K43" s="458"/>
      <c r="L43" s="329"/>
      <c r="M43" s="233"/>
      <c r="N43" s="23">
        <f>IF(ISNA(VLOOKUP($C43,WOTS_Det!$C$17:$H$97,6,FALSE)),0,VLOOKUP($C43,WOTS_Det!$C$17:$H$97,6,FALSE))</f>
        <v>0</v>
      </c>
      <c r="O43" s="23">
        <f>IF(ISNA(VLOOKUP($C43,BDL_Det!$C$17:$H$107,6,FALSE)),0,VLOOKUP($C43,BDL_Det!$C$17:$H$107,6,FALSE))</f>
        <v>0</v>
      </c>
      <c r="P43" s="23">
        <f>IF(ISNA(VLOOKUP($C43,ELM_Det!$C$17:$H$101,6,FALSE)),0,VLOOKUP($C43,ELM_Det!$C$17:$H$101,6,FALSE))</f>
        <v>0</v>
      </c>
      <c r="Q43" s="23">
        <f>IF(ISNA(VLOOKUP($C43,RWN_Det!$C$17:$H$98,6,FALSE)),0,VLOOKUP($C43,RWN_Det!$C$17:$H$98,6,FALSE))</f>
        <v>0</v>
      </c>
      <c r="R43" s="23">
        <f>IF(ISNA(VLOOKUP($C43,KMS_Det!$C$17:$H$95,6,FALSE)),0,VLOOKUP($C43,KMS_Det!$C$17:$H$95,6,FALSE))</f>
        <v>0</v>
      </c>
      <c r="S43" s="23">
        <f>IF(ISNA(VLOOKUP($C43,WGI_Det!$C$17:$H$77,6,FALSE)),0,VLOOKUP($C43,WGI_Det!$C$17:$H$77,6,FALSE))</f>
        <v>0</v>
      </c>
      <c r="T43" s="23">
        <f>IF(ISNA(VLOOKUP($C43,BGE_Det!$C$17:$H$91,6,FALSE)),0,VLOOKUP($C43,BGE_Det!$C$17:$H$91,6,FALSE))</f>
        <v>0</v>
      </c>
      <c r="U43" s="23">
        <f>IF(ISNA(VLOOKUP($C43,LDL_Det!$C$17:$H$73,6,FALSE)),0,VLOOKUP($C43,LDL_Det!$C$17:$H$73,6,FALSE))</f>
        <v>0</v>
      </c>
      <c r="W43" s="235"/>
      <c r="X43" s="235"/>
      <c r="Y43" s="235"/>
    </row>
    <row r="44" spans="2:25" x14ac:dyDescent="0.25">
      <c r="C44" s="316" t="s">
        <v>171</v>
      </c>
      <c r="D44" s="65" t="s">
        <v>172</v>
      </c>
      <c r="E44" s="458"/>
      <c r="F44" s="66" t="s">
        <v>91</v>
      </c>
      <c r="G44" s="67" t="s">
        <v>3</v>
      </c>
      <c r="H44" s="68" t="s">
        <v>27</v>
      </c>
      <c r="I44" s="69">
        <f>'Unit_Rates - $2015'!I38*1/Escalators!$G$12</f>
        <v>369.03899999999987</v>
      </c>
      <c r="J44" s="459"/>
      <c r="K44" s="458"/>
      <c r="L44" s="359"/>
      <c r="M44" s="233"/>
      <c r="N44" s="23">
        <f>IF(ISNA(VLOOKUP($C44,WOTS_Det!$C$17:$H$97,6,FALSE)),0,VLOOKUP($C44,WOTS_Det!$C$17:$H$97,6,FALSE))</f>
        <v>0</v>
      </c>
      <c r="O44" s="23">
        <f>IF(ISNA(VLOOKUP($C44,BDL_Det!$C$17:$H$107,6,FALSE)),0,VLOOKUP($C44,BDL_Det!$C$17:$H$107,6,FALSE))</f>
        <v>0</v>
      </c>
      <c r="P44" s="23">
        <f>IF(ISNA(VLOOKUP($C44,ELM_Det!$C$17:$H$101,6,FALSE)),0,VLOOKUP($C44,ELM_Det!$C$17:$H$101,6,FALSE))</f>
        <v>0</v>
      </c>
      <c r="Q44" s="23">
        <f>IF(ISNA(VLOOKUP($C44,RWN_Det!$C$17:$H$98,6,FALSE)),0,VLOOKUP($C44,RWN_Det!$C$17:$H$98,6,FALSE))</f>
        <v>0</v>
      </c>
      <c r="R44" s="23">
        <f>IF(ISNA(VLOOKUP($C44,KMS_Det!$C$17:$H$95,6,FALSE)),0,VLOOKUP($C44,KMS_Det!$C$17:$H$95,6,FALSE))</f>
        <v>0</v>
      </c>
      <c r="S44" s="23">
        <f>IF(ISNA(VLOOKUP($C44,WGI_Det!$C$17:$H$77,6,FALSE)),0,VLOOKUP($C44,WGI_Det!$C$17:$H$77,6,FALSE))</f>
        <v>0</v>
      </c>
      <c r="T44" s="23">
        <f>IF(ISNA(VLOOKUP($C44,BGE_Det!$C$17:$H$91,6,FALSE)),0,VLOOKUP($C44,BGE_Det!$C$17:$H$91,6,FALSE))</f>
        <v>0</v>
      </c>
      <c r="U44" s="23">
        <f>IF(ISNA(VLOOKUP($C44,LDL_Det!$C$17:$H$73,6,FALSE)),0,VLOOKUP($C44,LDL_Det!$C$17:$H$73,6,FALSE))</f>
        <v>0</v>
      </c>
      <c r="W44" s="235"/>
      <c r="X44" s="235"/>
      <c r="Y44" s="235"/>
    </row>
    <row r="45" spans="2:25" x14ac:dyDescent="0.25">
      <c r="C45" s="65" t="s">
        <v>173</v>
      </c>
      <c r="D45" s="65" t="s">
        <v>174</v>
      </c>
      <c r="E45" s="458"/>
      <c r="F45" s="66" t="s">
        <v>91</v>
      </c>
      <c r="G45" s="67" t="s">
        <v>3</v>
      </c>
      <c r="H45" s="68" t="s">
        <v>27</v>
      </c>
      <c r="I45" s="69">
        <f>'Unit_Rates - $2015'!I39*1/Escalators!$G$12</f>
        <v>35.740586046511623</v>
      </c>
      <c r="J45" s="458"/>
      <c r="K45" s="458"/>
      <c r="L45" s="2"/>
      <c r="M45" s="70"/>
      <c r="N45" s="23">
        <f>IF(ISNA(VLOOKUP($C45,WOTS_Det!$C$17:$H$97,6,FALSE)),0,VLOOKUP($C45,WOTS_Det!$C$17:$H$97,6,FALSE))</f>
        <v>120</v>
      </c>
      <c r="O45" s="23">
        <f>IF(ISNA(VLOOKUP($C45,BDL_Det!$C$17:$H$107,6,FALSE)),0,VLOOKUP($C45,BDL_Det!$C$17:$H$107,6,FALSE))</f>
        <v>900</v>
      </c>
      <c r="P45" s="23">
        <f>IF(ISNA(VLOOKUP($C45,ELM_Det!$C$17:$H$101,6,FALSE)),0,VLOOKUP($C45,ELM_Det!$C$17:$H$101,6,FALSE))</f>
        <v>580</v>
      </c>
      <c r="Q45" s="23">
        <f>IF(ISNA(VLOOKUP($C45,RWN_Det!$C$17:$H$98,6,FALSE)),0,VLOOKUP($C45,RWN_Det!$C$17:$H$98,6,FALSE))</f>
        <v>500</v>
      </c>
      <c r="R45" s="23">
        <f>IF(ISNA(VLOOKUP($C45,KMS_Det!$C$17:$H$95,6,FALSE)),0,VLOOKUP($C45,KMS_Det!$C$17:$H$95,6,FALSE))</f>
        <v>2600</v>
      </c>
      <c r="S45" s="23">
        <f>IF(ISNA(VLOOKUP($C45,WGI_Det!$C$17:$H$77,6,FALSE)),0,VLOOKUP($C45,WGI_Det!$C$17:$H$77,6,FALSE))</f>
        <v>1120</v>
      </c>
      <c r="T45" s="23">
        <f>IF(ISNA(VLOOKUP($C45,BGE_Det!$C$17:$H$91,6,FALSE)),0,VLOOKUP($C45,BGE_Det!$C$17:$H$91,6,FALSE))</f>
        <v>50</v>
      </c>
      <c r="U45" s="23">
        <f>IF(ISNA(VLOOKUP($C45,LDL_Det!$C$17:$H$73,6,FALSE)),0,VLOOKUP($C45,LDL_Det!$C$17:$H$73,6,FALSE))</f>
        <v>120</v>
      </c>
      <c r="W45" s="235"/>
      <c r="X45" s="235"/>
      <c r="Y45" s="235"/>
    </row>
    <row r="46" spans="2:25" x14ac:dyDescent="0.25">
      <c r="C46" s="65" t="s">
        <v>173</v>
      </c>
      <c r="D46" s="65" t="s">
        <v>175</v>
      </c>
      <c r="E46" s="458"/>
      <c r="F46" s="66" t="s">
        <v>91</v>
      </c>
      <c r="G46" s="67" t="s">
        <v>3</v>
      </c>
      <c r="H46" s="68" t="s">
        <v>27</v>
      </c>
      <c r="I46" s="69">
        <f>'Unit_Rates - $2015'!I40*1/Escalators!$G$12</f>
        <v>11.046669767441859</v>
      </c>
      <c r="J46" s="458"/>
      <c r="K46" s="458"/>
      <c r="L46" s="2"/>
      <c r="M46" s="70"/>
      <c r="N46" s="70"/>
      <c r="O46" s="70"/>
      <c r="W46" s="235"/>
      <c r="X46" s="235"/>
      <c r="Y46" s="235"/>
    </row>
    <row r="47" spans="2:25" x14ac:dyDescent="0.25">
      <c r="C47" s="65" t="s">
        <v>173</v>
      </c>
      <c r="D47" s="65" t="s">
        <v>176</v>
      </c>
      <c r="E47" s="458"/>
      <c r="F47" s="66" t="s">
        <v>91</v>
      </c>
      <c r="G47" s="67" t="s">
        <v>3</v>
      </c>
      <c r="H47" s="68" t="s">
        <v>27</v>
      </c>
      <c r="I47" s="69">
        <f>'Unit_Rates - $2015'!I41*1/Escalators!$G$12</f>
        <v>1.8815813953488372</v>
      </c>
      <c r="J47" s="458"/>
      <c r="K47" s="458"/>
      <c r="L47" s="2"/>
      <c r="M47" s="70"/>
      <c r="N47" s="70"/>
      <c r="O47" s="70"/>
      <c r="W47" s="235"/>
      <c r="X47" s="235"/>
      <c r="Y47" s="235"/>
    </row>
    <row r="48" spans="2:25" x14ac:dyDescent="0.25">
      <c r="C48" s="65" t="s">
        <v>177</v>
      </c>
      <c r="D48" s="65" t="s">
        <v>178</v>
      </c>
      <c r="E48" s="458"/>
      <c r="F48" s="66" t="s">
        <v>91</v>
      </c>
      <c r="G48" s="67" t="s">
        <v>3</v>
      </c>
      <c r="H48" s="68" t="s">
        <v>27</v>
      </c>
      <c r="I48" s="74">
        <f>'Unit_Rates - $2015'!I42*1/Escalators!$G$12</f>
        <v>4.9999999999999996E-2</v>
      </c>
      <c r="J48" s="460"/>
      <c r="K48" s="458"/>
      <c r="L48" s="2"/>
      <c r="M48" s="70"/>
      <c r="N48" s="23">
        <f>IF(ISNA(VLOOKUP($C48,WOTS_Det!$C$17:$H$97,6,FALSE)),0,VLOOKUP($C48,WOTS_Det!$C$17:$H$97,6,FALSE))</f>
        <v>0</v>
      </c>
      <c r="O48" s="23">
        <f>IF(ISNA(VLOOKUP($C48,BDL_Det!$C$17:$H$107,6,FALSE)),0,VLOOKUP($C48,BDL_Det!$C$17:$H$107,6,FALSE))</f>
        <v>0</v>
      </c>
      <c r="P48" s="23">
        <f>IF(ISNA(VLOOKUP($C48,ELM_Det!$C$17:$H$101,6,FALSE)),0,VLOOKUP($C48,ELM_Det!$C$17:$H$101,6,FALSE))</f>
        <v>0</v>
      </c>
      <c r="Q48" s="23">
        <f>IF(ISNA(VLOOKUP($C48,RWN_Det!$C$17:$H$98,6,FALSE)),0,VLOOKUP($C48,RWN_Det!$C$17:$H$98,6,FALSE))</f>
        <v>0</v>
      </c>
      <c r="R48" s="23">
        <f>IF(ISNA(VLOOKUP($C48,KMS_Det!$C$17:$H$95,6,FALSE)),0,VLOOKUP($C48,KMS_Det!$C$17:$H$95,6,FALSE))</f>
        <v>0</v>
      </c>
      <c r="S48" s="23">
        <f>IF(ISNA(VLOOKUP($C48,WGI_Det!$C$17:$H$77,6,FALSE)),0,VLOOKUP($C48,WGI_Det!$C$17:$H$77,6,FALSE))</f>
        <v>0</v>
      </c>
      <c r="T48" s="23">
        <f>IF(ISNA(VLOOKUP($C48,BGE_Det!$C$17:$H$91,6,FALSE)),0,VLOOKUP($C48,BGE_Det!$C$17:$H$91,6,FALSE))</f>
        <v>0</v>
      </c>
      <c r="U48" s="23">
        <f>IF(ISNA(VLOOKUP($C48,LDL_Det!$C$17:$H$73,6,FALSE)),0,VLOOKUP($C48,LDL_Det!$C$17:$H$73,6,FALSE))</f>
        <v>0</v>
      </c>
      <c r="W48" s="235"/>
      <c r="X48" s="235"/>
      <c r="Y48" s="235"/>
    </row>
    <row r="49" spans="1:25" x14ac:dyDescent="0.25">
      <c r="C49" s="65" t="s">
        <v>179</v>
      </c>
      <c r="D49" s="65" t="s">
        <v>180</v>
      </c>
      <c r="E49" s="458"/>
      <c r="F49" s="66" t="s">
        <v>91</v>
      </c>
      <c r="G49" s="67" t="s">
        <v>3</v>
      </c>
      <c r="H49" s="68" t="s">
        <v>27</v>
      </c>
      <c r="I49" s="69">
        <f>'Unit_Rates - $2015'!I43*1/Escalators!$G$12</f>
        <v>0</v>
      </c>
      <c r="J49" s="458"/>
      <c r="K49" s="458"/>
      <c r="L49" s="2"/>
      <c r="M49" s="70"/>
      <c r="N49" s="23">
        <f>IF(ISNA(VLOOKUP($C49,WOTS_Det!$C$17:$H$97,6,FALSE)),0,VLOOKUP($C49,WOTS_Det!$C$17:$H$97,6,FALSE))</f>
        <v>2</v>
      </c>
      <c r="O49" s="23">
        <f>IF(ISNA(VLOOKUP($C49,BDL_Det!$C$17:$H$107,6,FALSE)),0,VLOOKUP($C49,BDL_Det!$C$17:$H$107,6,FALSE))</f>
        <v>0</v>
      </c>
      <c r="P49" s="23">
        <f>IF(ISNA(VLOOKUP($C49,ELM_Det!$C$17:$H$101,6,FALSE)),0,VLOOKUP($C49,ELM_Det!$C$17:$H$101,6,FALSE))</f>
        <v>0</v>
      </c>
      <c r="Q49" s="23">
        <f>IF(ISNA(VLOOKUP($C49,RWN_Det!$C$17:$H$98,6,FALSE)),0,VLOOKUP($C49,RWN_Det!$C$17:$H$98,6,FALSE))</f>
        <v>1</v>
      </c>
      <c r="R49" s="23">
        <f>IF(ISNA(VLOOKUP($C49,KMS_Det!$C$17:$H$95,6,FALSE)),0,VLOOKUP($C49,KMS_Det!$C$17:$H$95,6,FALSE))</f>
        <v>0</v>
      </c>
      <c r="S49" s="23">
        <f>IF(ISNA(VLOOKUP($C49,WGI_Det!$C$17:$H$77,6,FALSE)),0,VLOOKUP($C49,WGI_Det!$C$17:$H$77,6,FALSE))</f>
        <v>1</v>
      </c>
      <c r="T49" s="23">
        <f>IF(ISNA(VLOOKUP($C49,BGE_Det!$C$17:$H$91,6,FALSE)),0,VLOOKUP($C49,BGE_Det!$C$17:$H$91,6,FALSE))</f>
        <v>1</v>
      </c>
      <c r="U49" s="23">
        <f>IF(ISNA(VLOOKUP($C49,LDL_Det!$C$17:$H$73,6,FALSE)),0,VLOOKUP($C49,LDL_Det!$C$17:$H$73,6,FALSE))</f>
        <v>1</v>
      </c>
      <c r="W49" s="235"/>
      <c r="X49" s="235"/>
      <c r="Y49" s="235"/>
    </row>
    <row r="50" spans="1:25" s="72" customFormat="1" x14ac:dyDescent="0.25">
      <c r="C50" s="65" t="s">
        <v>181</v>
      </c>
      <c r="D50" s="65" t="s">
        <v>182</v>
      </c>
      <c r="E50" s="458"/>
      <c r="F50" s="66" t="s">
        <v>91</v>
      </c>
      <c r="G50" s="67" t="s">
        <v>3</v>
      </c>
      <c r="H50" s="68" t="s">
        <v>27</v>
      </c>
      <c r="I50" s="69">
        <f>'Unit_Rates - $2015'!I44*1/Escalators!$G$12</f>
        <v>131.39534883720927</v>
      </c>
      <c r="J50" s="458"/>
      <c r="K50" s="458"/>
      <c r="L50" s="2"/>
      <c r="M50" s="70"/>
      <c r="N50" s="23">
        <f>IF(ISNA(VLOOKUP($C50,WOTS_Det!$C$17:$H$97,6,FALSE)),0,VLOOKUP($C50,WOTS_Det!$C$17:$H$97,6,FALSE))</f>
        <v>0</v>
      </c>
      <c r="O50" s="23">
        <f>IF(ISNA(VLOOKUP($C50,BDL_Det!$C$17:$H$107,6,FALSE)),0,VLOOKUP($C50,BDL_Det!$C$17:$H$107,6,FALSE))</f>
        <v>0</v>
      </c>
      <c r="P50" s="23">
        <f>IF(ISNA(VLOOKUP($C50,ELM_Det!$C$17:$H$101,6,FALSE)),0,VLOOKUP($C50,ELM_Det!$C$17:$H$101,6,FALSE))</f>
        <v>0</v>
      </c>
      <c r="Q50" s="23">
        <f>IF(ISNA(VLOOKUP($C50,RWN_Det!$C$17:$H$98,6,FALSE)),0,VLOOKUP($C50,RWN_Det!$C$17:$H$98,6,FALSE))</f>
        <v>0</v>
      </c>
      <c r="R50" s="23">
        <f>IF(ISNA(VLOOKUP($C50,KMS_Det!$C$17:$H$95,6,FALSE)),0,VLOOKUP($C50,KMS_Det!$C$17:$H$95,6,FALSE))</f>
        <v>0</v>
      </c>
      <c r="S50" s="23">
        <f>IF(ISNA(VLOOKUP($C50,WGI_Det!$C$17:$H$77,6,FALSE)),0,VLOOKUP($C50,WGI_Det!$C$17:$H$77,6,FALSE))</f>
        <v>0</v>
      </c>
      <c r="T50" s="23">
        <f>IF(ISNA(VLOOKUP($C50,BGE_Det!$C$17:$H$91,6,FALSE)),0,VLOOKUP($C50,BGE_Det!$C$17:$H$91,6,FALSE))</f>
        <v>0</v>
      </c>
      <c r="U50" s="23">
        <f>IF(ISNA(VLOOKUP($C50,LDL_Det!$C$17:$H$73,6,FALSE)),0,VLOOKUP($C50,LDL_Det!$C$17:$H$73,6,FALSE))</f>
        <v>0</v>
      </c>
      <c r="W50" s="235"/>
      <c r="X50" s="235"/>
      <c r="Y50" s="235"/>
    </row>
    <row r="51" spans="1:25" s="72" customFormat="1" x14ac:dyDescent="0.25">
      <c r="C51" s="65" t="s">
        <v>183</v>
      </c>
      <c r="D51" s="65" t="s">
        <v>184</v>
      </c>
      <c r="E51" s="458"/>
      <c r="F51" s="66" t="s">
        <v>91</v>
      </c>
      <c r="G51" s="67" t="s">
        <v>3</v>
      </c>
      <c r="H51" s="68" t="s">
        <v>27</v>
      </c>
      <c r="I51" s="69">
        <f>'Unit_Rates - $2015'!I45*1/Escalators!$G$12</f>
        <v>0</v>
      </c>
      <c r="J51" s="458"/>
      <c r="K51" s="458"/>
      <c r="L51" s="2"/>
      <c r="M51" s="70"/>
      <c r="N51" s="23">
        <f>IF(ISNA(VLOOKUP($C51,WOTS_Det!$C$17:$H$97,6,FALSE)),0,VLOOKUP($C51,WOTS_Det!$C$17:$H$97,6,FALSE))</f>
        <v>0</v>
      </c>
      <c r="O51" s="23">
        <f>IF(ISNA(VLOOKUP($C51,BDL_Det!$C$17:$H$107,6,FALSE)),0,VLOOKUP($C51,BDL_Det!$C$17:$H$107,6,FALSE))</f>
        <v>0</v>
      </c>
      <c r="P51" s="23">
        <f>IF(ISNA(VLOOKUP($C51,ELM_Det!$C$17:$H$101,6,FALSE)),0,VLOOKUP($C51,ELM_Det!$C$17:$H$101,6,FALSE))</f>
        <v>0</v>
      </c>
      <c r="Q51" s="23">
        <f>IF(ISNA(VLOOKUP($C51,RWN_Det!$C$17:$H$98,6,FALSE)),0,VLOOKUP($C51,RWN_Det!$C$17:$H$98,6,FALSE))</f>
        <v>0</v>
      </c>
      <c r="R51" s="23">
        <f>IF(ISNA(VLOOKUP($C51,KMS_Det!$C$17:$H$95,6,FALSE)),0,VLOOKUP($C51,KMS_Det!$C$17:$H$95,6,FALSE))</f>
        <v>0</v>
      </c>
      <c r="S51" s="23">
        <f>IF(ISNA(VLOOKUP($C51,WGI_Det!$C$17:$H$77,6,FALSE)),0,VLOOKUP($C51,WGI_Det!$C$17:$H$77,6,FALSE))</f>
        <v>0</v>
      </c>
      <c r="T51" s="23">
        <f>IF(ISNA(VLOOKUP($C51,BGE_Det!$C$17:$H$91,6,FALSE)),0,VLOOKUP($C51,BGE_Det!$C$17:$H$91,6,FALSE))</f>
        <v>0</v>
      </c>
      <c r="U51" s="23">
        <f>IF(ISNA(VLOOKUP($C51,LDL_Det!$C$17:$H$73,6,FALSE)),0,VLOOKUP($C51,LDL_Det!$C$17:$H$73,6,FALSE))</f>
        <v>0</v>
      </c>
      <c r="W51" s="235"/>
      <c r="X51" s="235"/>
      <c r="Y51" s="235"/>
    </row>
    <row r="52" spans="1:25" s="72" customFormat="1" x14ac:dyDescent="0.25">
      <c r="C52" s="65" t="s">
        <v>185</v>
      </c>
      <c r="D52" s="65" t="s">
        <v>184</v>
      </c>
      <c r="E52" s="458"/>
      <c r="F52" s="66" t="s">
        <v>91</v>
      </c>
      <c r="G52" s="67" t="s">
        <v>3</v>
      </c>
      <c r="H52" s="68" t="s">
        <v>27</v>
      </c>
      <c r="I52" s="69">
        <v>430</v>
      </c>
      <c r="J52" s="458"/>
      <c r="K52" s="458"/>
      <c r="L52" s="2"/>
      <c r="M52" s="70"/>
      <c r="N52" s="23">
        <f>IF(ISNA(VLOOKUP($C52,WOTS_Det!$C$17:$H$97,6,FALSE)),0,VLOOKUP($C52,WOTS_Det!$C$17:$H$97,6,FALSE))</f>
        <v>0</v>
      </c>
      <c r="O52" s="23">
        <f>IF(ISNA(VLOOKUP($C52,BDL_Det!$C$17:$H$107,6,FALSE)),0,VLOOKUP($C52,BDL_Det!$C$17:$H$107,6,FALSE))</f>
        <v>0</v>
      </c>
      <c r="P52" s="23">
        <f>IF(ISNA(VLOOKUP($C52,ELM_Det!$C$17:$H$101,6,FALSE)),0,VLOOKUP($C52,ELM_Det!$C$17:$H$101,6,FALSE))</f>
        <v>0</v>
      </c>
      <c r="Q52" s="23">
        <f>IF(ISNA(VLOOKUP($C52,RWN_Det!$C$17:$H$98,6,FALSE)),0,VLOOKUP($C52,RWN_Det!$C$17:$H$98,6,FALSE))</f>
        <v>0</v>
      </c>
      <c r="R52" s="23">
        <f>IF(ISNA(VLOOKUP($C52,KMS_Det!$C$17:$H$95,6,FALSE)),0,VLOOKUP($C52,KMS_Det!$C$17:$H$95,6,FALSE))</f>
        <v>0</v>
      </c>
      <c r="S52" s="23">
        <f>IF(ISNA(VLOOKUP($C52,WGI_Det!$C$17:$H$77,6,FALSE)),0,VLOOKUP($C52,WGI_Det!$C$17:$H$77,6,FALSE))</f>
        <v>0</v>
      </c>
      <c r="T52" s="23">
        <f>IF(ISNA(VLOOKUP($C52,BGE_Det!$C$17:$H$91,6,FALSE)),0,VLOOKUP($C52,BGE_Det!$C$17:$H$91,6,FALSE))</f>
        <v>0</v>
      </c>
      <c r="U52" s="23">
        <f>IF(ISNA(VLOOKUP($C52,LDL_Det!$C$17:$H$73,6,FALSE)),0,VLOOKUP($C52,LDL_Det!$C$17:$H$73,6,FALSE))</f>
        <v>0</v>
      </c>
      <c r="W52" s="235"/>
      <c r="X52" s="235"/>
      <c r="Y52" s="235"/>
    </row>
    <row r="53" spans="1:25" s="72" customFormat="1" x14ac:dyDescent="0.25">
      <c r="C53" s="273"/>
      <c r="D53" s="273"/>
      <c r="E53" s="153"/>
      <c r="F53" s="294"/>
      <c r="G53" s="295"/>
      <c r="H53" s="296"/>
      <c r="I53" s="153"/>
      <c r="J53" s="153"/>
      <c r="K53" s="153"/>
      <c r="L53" s="289"/>
      <c r="M53" s="70"/>
      <c r="N53" s="70"/>
      <c r="O53" s="70"/>
      <c r="Q53"/>
      <c r="R53"/>
      <c r="S53"/>
      <c r="T53"/>
      <c r="U53"/>
      <c r="W53" s="235"/>
      <c r="X53" s="235"/>
      <c r="Y53" s="235"/>
    </row>
    <row r="54" spans="1:25" s="72" customFormat="1" x14ac:dyDescent="0.25">
      <c r="B54" s="370" t="s">
        <v>389</v>
      </c>
      <c r="C54" s="273"/>
      <c r="D54" s="273"/>
      <c r="E54" s="153"/>
      <c r="F54" s="294"/>
      <c r="G54" s="295"/>
      <c r="H54" s="296"/>
      <c r="I54" s="153"/>
      <c r="J54" s="153"/>
      <c r="K54" s="70"/>
      <c r="L54" s="70"/>
      <c r="N54" s="70"/>
      <c r="Q54"/>
      <c r="R54"/>
      <c r="S54"/>
      <c r="T54"/>
      <c r="U54"/>
      <c r="W54" s="235"/>
      <c r="X54" s="235"/>
      <c r="Y54" s="235"/>
    </row>
    <row r="55" spans="1:25" s="72" customFormat="1" x14ac:dyDescent="0.25">
      <c r="C55" s="273"/>
      <c r="D55" s="273"/>
      <c r="E55" s="153"/>
      <c r="F55" s="294"/>
      <c r="G55" s="295"/>
      <c r="H55" s="296"/>
      <c r="I55" s="153"/>
      <c r="J55" s="153"/>
      <c r="K55" s="153"/>
      <c r="L55" s="289"/>
      <c r="M55" s="70"/>
      <c r="N55" s="70"/>
      <c r="O55" s="70"/>
      <c r="Q55"/>
      <c r="R55"/>
      <c r="S55"/>
      <c r="T55"/>
      <c r="U55"/>
      <c r="W55" s="235"/>
      <c r="X55" s="235"/>
      <c r="Y55" s="235"/>
    </row>
    <row r="56" spans="1:25" s="72" customFormat="1" x14ac:dyDescent="0.25">
      <c r="B56" s="360"/>
      <c r="C56" s="13"/>
      <c r="D56" s="13"/>
      <c r="E56" s="62" t="s">
        <v>115</v>
      </c>
      <c r="F56" s="13"/>
      <c r="G56" s="12"/>
      <c r="H56" s="12"/>
      <c r="I56" s="13"/>
      <c r="J56" s="13"/>
      <c r="K56" s="13"/>
      <c r="L56" s="289"/>
      <c r="M56" s="70"/>
      <c r="N56" s="70"/>
      <c r="O56" s="70"/>
      <c r="Q56"/>
      <c r="R56"/>
      <c r="S56"/>
      <c r="T56"/>
      <c r="U56"/>
      <c r="W56" s="235"/>
      <c r="X56" s="235"/>
      <c r="Y56" s="235"/>
    </row>
    <row r="57" spans="1:25" s="72" customFormat="1" x14ac:dyDescent="0.25">
      <c r="B57" s="360"/>
      <c r="C57" s="63" t="s">
        <v>117</v>
      </c>
      <c r="D57" s="63" t="s">
        <v>118</v>
      </c>
      <c r="E57" s="64" t="s">
        <v>119</v>
      </c>
      <c r="F57" s="63" t="s">
        <v>120</v>
      </c>
      <c r="G57" s="63" t="s">
        <v>5</v>
      </c>
      <c r="H57" s="63" t="s">
        <v>20</v>
      </c>
      <c r="I57" s="63" t="s">
        <v>21</v>
      </c>
      <c r="J57" s="63" t="s">
        <v>121</v>
      </c>
      <c r="K57" s="63" t="s">
        <v>25</v>
      </c>
      <c r="L57" s="289"/>
      <c r="M57" s="70"/>
      <c r="N57" s="70"/>
      <c r="O57" s="70"/>
      <c r="P57" s="303"/>
      <c r="Q57"/>
      <c r="R57"/>
      <c r="S57"/>
      <c r="T57"/>
      <c r="U57"/>
      <c r="W57" s="235"/>
      <c r="X57" s="235"/>
      <c r="Y57" s="235"/>
    </row>
    <row r="58" spans="1:25" s="72" customFormat="1" x14ac:dyDescent="0.25">
      <c r="A58" s="362" t="s">
        <v>381</v>
      </c>
      <c r="C58" s="301" t="s">
        <v>353</v>
      </c>
      <c r="D58" s="301" t="s">
        <v>356</v>
      </c>
      <c r="E58" s="458"/>
      <c r="F58" s="66" t="s">
        <v>91</v>
      </c>
      <c r="G58" s="67" t="s">
        <v>3</v>
      </c>
      <c r="H58" s="68" t="s">
        <v>27</v>
      </c>
      <c r="I58" s="69">
        <v>185.47500200000002</v>
      </c>
      <c r="J58" s="458"/>
      <c r="K58" s="458"/>
      <c r="L58" s="297"/>
      <c r="M58" s="70"/>
      <c r="N58" s="23">
        <f>IF(ISNA(VLOOKUP($C58,WOTS_Det!$C$17:$H$97,6,FALSE)),0,VLOOKUP($C58,WOTS_Det!$C$17:$H$97,6,FALSE))</f>
        <v>0</v>
      </c>
      <c r="O58" s="23">
        <f>IF(ISNA(VLOOKUP($C58,BDL_Det!$C$17:$H$107,6,FALSE)),0,VLOOKUP($C58,BDL_Det!$C$17:$H$107,6,FALSE))</f>
        <v>0</v>
      </c>
      <c r="P58" s="23">
        <f>IF(ISNA(VLOOKUP($C58,ELM_Det!$C$17:$H$101,6,FALSE)),0,VLOOKUP($C58,ELM_Det!$C$17:$H$101,6,FALSE))</f>
        <v>0</v>
      </c>
      <c r="Q58" s="23">
        <f>IF(ISNA(VLOOKUP($C58,RWN_Det!$C$17:$H$98,6,FALSE)),0,VLOOKUP($C58,RWN_Det!$C$17:$H$98,6,FALSE))</f>
        <v>0</v>
      </c>
      <c r="R58" s="23">
        <f>IF(ISNA(VLOOKUP($C58,KMS_Det!$C$17:$H$95,6,FALSE)),0,VLOOKUP($C58,KMS_Det!$C$17:$H$95,6,FALSE))</f>
        <v>0</v>
      </c>
      <c r="S58" s="23">
        <f>IF(ISNA(VLOOKUP($C58,WGI_Det!$C$17:$H$77,6,FALSE)),0,VLOOKUP($C58,WGI_Det!$C$17:$H$77,6,FALSE))</f>
        <v>0</v>
      </c>
      <c r="T58" s="23">
        <f>IF(ISNA(VLOOKUP($C58,BGE_Det!$C$17:$H$91,6,FALSE)),0,VLOOKUP($C58,BGE_Det!$C$17:$H$91,6,FALSE))</f>
        <v>0</v>
      </c>
      <c r="U58" s="23">
        <f>IF(ISNA(VLOOKUP($C58,LDL_Det!$C$17:$H$73,6,FALSE)),0,VLOOKUP($C58,LDL_Det!$C$17:$H$73,6,FALSE))</f>
        <v>0</v>
      </c>
      <c r="W58" s="235"/>
      <c r="X58" s="235"/>
      <c r="Y58" s="235"/>
    </row>
    <row r="59" spans="1:25" s="72" customFormat="1" x14ac:dyDescent="0.25">
      <c r="A59" s="362" t="s">
        <v>381</v>
      </c>
      <c r="C59" s="301" t="s">
        <v>354</v>
      </c>
      <c r="D59" s="301" t="s">
        <v>354</v>
      </c>
      <c r="E59" s="458"/>
      <c r="F59" s="66" t="s">
        <v>91</v>
      </c>
      <c r="G59" s="67" t="s">
        <v>3</v>
      </c>
      <c r="H59" s="68" t="s">
        <v>27</v>
      </c>
      <c r="I59" s="69">
        <v>74.154499800000011</v>
      </c>
      <c r="J59" s="458"/>
      <c r="K59" s="458"/>
      <c r="L59" s="297"/>
      <c r="M59" s="70"/>
      <c r="N59" s="23">
        <f>IF(ISNA(VLOOKUP($C59,WOTS_Det!$C$17:$H$97,6,FALSE)),0,VLOOKUP($C59,WOTS_Det!$C$17:$H$97,6,FALSE))</f>
        <v>0</v>
      </c>
      <c r="O59" s="23">
        <f>IF(ISNA(VLOOKUP($C59,BDL_Det!$C$17:$H$107,6,FALSE)),0,VLOOKUP($C59,BDL_Det!$C$17:$H$107,6,FALSE))</f>
        <v>0</v>
      </c>
      <c r="P59" s="23">
        <f>IF(ISNA(VLOOKUP($C59,ELM_Det!$C$17:$H$101,6,FALSE)),0,VLOOKUP($C59,ELM_Det!$C$17:$H$101,6,FALSE))</f>
        <v>0</v>
      </c>
      <c r="Q59" s="23">
        <f>IF(ISNA(VLOOKUP($C59,RWN_Det!$C$17:$H$98,6,FALSE)),0,VLOOKUP($C59,RWN_Det!$C$17:$H$98,6,FALSE))</f>
        <v>0</v>
      </c>
      <c r="R59" s="23">
        <f>IF(ISNA(VLOOKUP($C59,KMS_Det!$C$17:$H$95,6,FALSE)),0,VLOOKUP($C59,KMS_Det!$C$17:$H$95,6,FALSE))</f>
        <v>0</v>
      </c>
      <c r="S59" s="23">
        <f>IF(ISNA(VLOOKUP($C59,WGI_Det!$C$17:$H$77,6,FALSE)),0,VLOOKUP($C59,WGI_Det!$C$17:$H$77,6,FALSE))</f>
        <v>0</v>
      </c>
      <c r="T59" s="23">
        <f>IF(ISNA(VLOOKUP($C59,BGE_Det!$C$17:$H$91,6,FALSE)),0,VLOOKUP($C59,BGE_Det!$C$17:$H$91,6,FALSE))</f>
        <v>0</v>
      </c>
      <c r="U59" s="23">
        <f>IF(ISNA(VLOOKUP($C59,LDL_Det!$C$17:$H$73,6,FALSE)),0,VLOOKUP($C59,LDL_Det!$C$17:$H$73,6,FALSE))</f>
        <v>0</v>
      </c>
      <c r="W59" s="235"/>
      <c r="X59" s="235"/>
      <c r="Y59" s="235"/>
    </row>
    <row r="60" spans="1:25" s="72" customFormat="1" x14ac:dyDescent="0.25">
      <c r="A60" s="362" t="s">
        <v>381</v>
      </c>
      <c r="C60" s="301" t="s">
        <v>355</v>
      </c>
      <c r="D60" s="301" t="s">
        <v>355</v>
      </c>
      <c r="E60" s="458"/>
      <c r="F60" s="66" t="s">
        <v>91</v>
      </c>
      <c r="G60" s="67" t="s">
        <v>3</v>
      </c>
      <c r="H60" s="68" t="s">
        <v>27</v>
      </c>
      <c r="I60" s="69">
        <v>37.493999250000002</v>
      </c>
      <c r="J60" s="458"/>
      <c r="K60" s="458"/>
      <c r="L60" s="297"/>
      <c r="M60" s="70"/>
      <c r="N60" s="23">
        <f>IF(ISNA(VLOOKUP($C60,WOTS_Det!$C$17:$H$97,6,FALSE)),0,VLOOKUP($C60,WOTS_Det!$C$17:$H$97,6,FALSE))</f>
        <v>0</v>
      </c>
      <c r="O60" s="23">
        <f>IF(ISNA(VLOOKUP($C60,BDL_Det!$C$17:$H$107,6,FALSE)),0,VLOOKUP($C60,BDL_Det!$C$17:$H$107,6,FALSE))</f>
        <v>0</v>
      </c>
      <c r="P60" s="23">
        <f>IF(ISNA(VLOOKUP($C60,ELM_Det!$C$17:$H$101,6,FALSE)),0,VLOOKUP($C60,ELM_Det!$C$17:$H$101,6,FALSE))</f>
        <v>0</v>
      </c>
      <c r="Q60" s="23">
        <f>IF(ISNA(VLOOKUP($C60,RWN_Det!$C$17:$H$98,6,FALSE)),0,VLOOKUP($C60,RWN_Det!$C$17:$H$98,6,FALSE))</f>
        <v>0</v>
      </c>
      <c r="R60" s="23">
        <f>IF(ISNA(VLOOKUP($C60,KMS_Det!$C$17:$H$95,6,FALSE)),0,VLOOKUP($C60,KMS_Det!$C$17:$H$95,6,FALSE))</f>
        <v>0</v>
      </c>
      <c r="S60" s="23">
        <f>IF(ISNA(VLOOKUP($C60,WGI_Det!$C$17:$H$77,6,FALSE)),0,VLOOKUP($C60,WGI_Det!$C$17:$H$77,6,FALSE))</f>
        <v>0</v>
      </c>
      <c r="T60" s="23">
        <f>IF(ISNA(VLOOKUP($C60,BGE_Det!$C$17:$H$91,6,FALSE)),0,VLOOKUP($C60,BGE_Det!$C$17:$H$91,6,FALSE))</f>
        <v>0</v>
      </c>
      <c r="U60" s="23">
        <f>IF(ISNA(VLOOKUP($C60,LDL_Det!$C$17:$H$73,6,FALSE)),0,VLOOKUP($C60,LDL_Det!$C$17:$H$73,6,FALSE))</f>
        <v>0</v>
      </c>
      <c r="W60" s="235"/>
      <c r="X60" s="235"/>
      <c r="Y60" s="235"/>
    </row>
    <row r="61" spans="1:25" s="72" customFormat="1" x14ac:dyDescent="0.25">
      <c r="A61" s="362" t="s">
        <v>381</v>
      </c>
      <c r="C61" s="65" t="s">
        <v>340</v>
      </c>
      <c r="D61" s="65" t="s">
        <v>341</v>
      </c>
      <c r="E61" s="458"/>
      <c r="F61" s="66" t="s">
        <v>91</v>
      </c>
      <c r="G61" s="67" t="s">
        <v>3</v>
      </c>
      <c r="H61" s="68" t="s">
        <v>27</v>
      </c>
      <c r="I61" s="69">
        <v>787.07449999999994</v>
      </c>
      <c r="J61" s="458"/>
      <c r="K61" s="458"/>
      <c r="L61" s="289"/>
      <c r="M61" s="70"/>
      <c r="N61" s="23">
        <f>IF(ISNA(VLOOKUP($C61,WOTS_Det!$C$17:$H$97,6,FALSE)),0,VLOOKUP($C61,WOTS_Det!$C$17:$H$97,6,FALSE))</f>
        <v>0</v>
      </c>
      <c r="O61" s="23">
        <f>IF(ISNA(VLOOKUP($C61,BDL_Det!$C$17:$H$107,6,FALSE)),0,VLOOKUP($C61,BDL_Det!$C$17:$H$107,6,FALSE))</f>
        <v>0</v>
      </c>
      <c r="P61" s="23">
        <f>IF(ISNA(VLOOKUP($C61,ELM_Det!$C$17:$H$101,6,FALSE)),0,VLOOKUP($C61,ELM_Det!$C$17:$H$101,6,FALSE))</f>
        <v>0</v>
      </c>
      <c r="Q61" s="23">
        <f>IF(ISNA(VLOOKUP($C61,RWN_Det!$C$17:$H$98,6,FALSE)),0,VLOOKUP($C61,RWN_Det!$C$17:$H$98,6,FALSE))</f>
        <v>0</v>
      </c>
      <c r="R61" s="23">
        <f>IF(ISNA(VLOOKUP($C61,KMS_Det!$C$17:$H$95,6,FALSE)),0,VLOOKUP($C61,KMS_Det!$C$17:$H$95,6,FALSE))</f>
        <v>0</v>
      </c>
      <c r="S61" s="23">
        <f>IF(ISNA(VLOOKUP($C61,WGI_Det!$C$17:$H$77,6,FALSE)),0,VLOOKUP($C61,WGI_Det!$C$17:$H$77,6,FALSE))</f>
        <v>0</v>
      </c>
      <c r="T61" s="23">
        <f>IF(ISNA(VLOOKUP($C61,BGE_Det!$C$17:$H$91,6,FALSE)),0,VLOOKUP($C61,BGE_Det!$C$17:$H$91,6,FALSE))</f>
        <v>0</v>
      </c>
      <c r="U61" s="23">
        <f>IF(ISNA(VLOOKUP($C61,LDL_Det!$C$17:$H$73,6,FALSE)),0,VLOOKUP($C61,LDL_Det!$C$17:$H$73,6,FALSE))</f>
        <v>0</v>
      </c>
      <c r="W61" s="235"/>
      <c r="X61" s="235"/>
      <c r="Y61" s="235"/>
    </row>
    <row r="62" spans="1:25" s="72" customFormat="1" x14ac:dyDescent="0.25">
      <c r="A62" s="362" t="s">
        <v>381</v>
      </c>
      <c r="C62" s="65" t="s">
        <v>416</v>
      </c>
      <c r="D62" s="65" t="s">
        <v>417</v>
      </c>
      <c r="E62" s="458"/>
      <c r="F62" s="66" t="s">
        <v>91</v>
      </c>
      <c r="G62" s="67" t="s">
        <v>3</v>
      </c>
      <c r="H62" s="68" t="s">
        <v>27</v>
      </c>
      <c r="I62" s="69">
        <v>169.007993</v>
      </c>
      <c r="J62" s="458"/>
      <c r="K62" s="458"/>
      <c r="L62" s="382"/>
      <c r="M62" s="70"/>
      <c r="N62" s="23">
        <f>IF(ISNA(VLOOKUP($C62,WOTS_Det!$C$17:$H$97,6,FALSE)),0,VLOOKUP($C62,WOTS_Det!$C$17:$H$97,6,FALSE))</f>
        <v>0</v>
      </c>
      <c r="O62" s="23">
        <f>IF(ISNA(VLOOKUP($C62,BDL_Det!$C$17:$H$107,6,FALSE)),0,VLOOKUP($C62,BDL_Det!$C$17:$H$107,6,FALSE))</f>
        <v>2</v>
      </c>
      <c r="P62" s="23">
        <f>IF(ISNA(VLOOKUP($C62,ELM_Det!$C$17:$H$101,6,FALSE)),0,VLOOKUP($C62,ELM_Det!$C$17:$H$101,6,FALSE))</f>
        <v>2</v>
      </c>
      <c r="Q62" s="23">
        <f>IF(ISNA(VLOOKUP($C62,RWN_Det!$C$17:$H$98,6,FALSE)),0,VLOOKUP($C62,RWN_Det!$C$17:$H$98,6,FALSE))</f>
        <v>0</v>
      </c>
      <c r="R62" s="23">
        <f>IF(ISNA(VLOOKUP($C62,KMS_Det!$C$17:$H$95,6,FALSE)),0,VLOOKUP($C62,KMS_Det!$C$17:$H$95,6,FALSE))</f>
        <v>0</v>
      </c>
      <c r="S62" s="23">
        <f>IF(ISNA(VLOOKUP($C62,WGI_Det!$C$17:$H$77,6,FALSE)),0,VLOOKUP($C62,WGI_Det!$C$17:$H$77,6,FALSE))</f>
        <v>0</v>
      </c>
      <c r="T62" s="23">
        <f>IF(ISNA(VLOOKUP($C62,BGE_Det!$C$17:$H$91,6,FALSE)),0,VLOOKUP($C62,BGE_Det!$C$17:$H$91,6,FALSE))</f>
        <v>0</v>
      </c>
      <c r="U62" s="23">
        <f>IF(ISNA(VLOOKUP($C62,LDL_Det!$C$17:$H$73,6,FALSE)),0,VLOOKUP($C62,LDL_Det!$C$17:$H$73,6,FALSE))</f>
        <v>0</v>
      </c>
      <c r="W62" s="235"/>
      <c r="X62" s="235"/>
      <c r="Y62" s="235"/>
    </row>
    <row r="63" spans="1:25" s="72" customFormat="1" x14ac:dyDescent="0.25">
      <c r="A63" s="362" t="s">
        <v>381</v>
      </c>
      <c r="C63" s="65" t="s">
        <v>418</v>
      </c>
      <c r="D63" s="65" t="s">
        <v>418</v>
      </c>
      <c r="E63" s="458"/>
      <c r="F63" s="66" t="s">
        <v>91</v>
      </c>
      <c r="G63" s="67" t="s">
        <v>3</v>
      </c>
      <c r="H63" s="68" t="s">
        <v>27</v>
      </c>
      <c r="I63" s="69">
        <v>0</v>
      </c>
      <c r="J63" s="458"/>
      <c r="K63" s="458"/>
      <c r="L63" s="382"/>
      <c r="M63" s="70"/>
      <c r="N63" s="23">
        <f>IF(ISNA(VLOOKUP($C63,WOTS_Det!$C$17:$H$97,6,FALSE)),0,VLOOKUP($C63,WOTS_Det!$C$17:$H$97,6,FALSE))</f>
        <v>0</v>
      </c>
      <c r="O63" s="23">
        <f>IF(ISNA(VLOOKUP($C63,BDL_Det!$C$17:$H$107,6,FALSE)),0,VLOOKUP($C63,BDL_Det!$C$17:$H$107,6,FALSE))</f>
        <v>3</v>
      </c>
      <c r="P63" s="23">
        <f>IF(ISNA(VLOOKUP($C63,ELM_Det!$C$17:$H$101,6,FALSE)),0,VLOOKUP($C63,ELM_Det!$C$17:$H$101,6,FALSE))</f>
        <v>0</v>
      </c>
      <c r="Q63" s="23">
        <f>IF(ISNA(VLOOKUP($C63,RWN_Det!$C$17:$H$98,6,FALSE)),0,VLOOKUP($C63,RWN_Det!$C$17:$H$98,6,FALSE))</f>
        <v>0</v>
      </c>
      <c r="R63" s="23">
        <f>IF(ISNA(VLOOKUP($C63,KMS_Det!$C$17:$H$95,6,FALSE)),0,VLOOKUP($C63,KMS_Det!$C$17:$H$95,6,FALSE))</f>
        <v>0</v>
      </c>
      <c r="S63" s="23">
        <f>IF(ISNA(VLOOKUP($C63,WGI_Det!$C$17:$H$77,6,FALSE)),0,VLOOKUP($C63,WGI_Det!$C$17:$H$77,6,FALSE))</f>
        <v>0</v>
      </c>
      <c r="T63" s="23">
        <f>IF(ISNA(VLOOKUP($C63,BGE_Det!$C$17:$H$91,6,FALSE)),0,VLOOKUP($C63,BGE_Det!$C$17:$H$91,6,FALSE))</f>
        <v>0</v>
      </c>
      <c r="U63" s="23">
        <f>IF(ISNA(VLOOKUP($C63,LDL_Det!$C$17:$H$73,6,FALSE)),0,VLOOKUP($C63,LDL_Det!$C$17:$H$73,6,FALSE))</f>
        <v>0</v>
      </c>
      <c r="W63" s="235"/>
      <c r="X63" s="235"/>
      <c r="Y63" s="235"/>
    </row>
    <row r="64" spans="1:25" s="72" customFormat="1" x14ac:dyDescent="0.25">
      <c r="A64" s="362" t="s">
        <v>381</v>
      </c>
      <c r="C64" s="65" t="s">
        <v>419</v>
      </c>
      <c r="D64" s="65" t="s">
        <v>420</v>
      </c>
      <c r="E64" s="458"/>
      <c r="F64" s="66" t="s">
        <v>91</v>
      </c>
      <c r="G64" s="67" t="s">
        <v>3</v>
      </c>
      <c r="H64" s="68" t="s">
        <v>27</v>
      </c>
      <c r="I64" s="69">
        <v>1126.5675100000001</v>
      </c>
      <c r="J64" s="458"/>
      <c r="K64" s="458"/>
      <c r="L64" s="382"/>
      <c r="M64" s="70"/>
      <c r="N64" s="23">
        <f>IF(ISNA(VLOOKUP($C64,WOTS_Det!$C$17:$H$97,6,FALSE)),0,VLOOKUP($C64,WOTS_Det!$C$17:$H$97,6,FALSE))</f>
        <v>0</v>
      </c>
      <c r="O64" s="23">
        <f>IF(ISNA(VLOOKUP($C64,BDL_Det!$C$17:$H$107,6,FALSE)),0,VLOOKUP($C64,BDL_Det!$C$17:$H$107,6,FALSE))</f>
        <v>2</v>
      </c>
      <c r="P64" s="23">
        <f>IF(ISNA(VLOOKUP($C64,ELM_Det!$C$17:$H$101,6,FALSE)),0,VLOOKUP($C64,ELM_Det!$C$17:$H$101,6,FALSE))</f>
        <v>0</v>
      </c>
      <c r="Q64" s="23">
        <f>IF(ISNA(VLOOKUP($C64,RWN_Det!$C$17:$H$98,6,FALSE)),0,VLOOKUP($C64,RWN_Det!$C$17:$H$98,6,FALSE))</f>
        <v>0</v>
      </c>
      <c r="R64" s="23">
        <f>IF(ISNA(VLOOKUP($C64,KMS_Det!$C$17:$H$95,6,FALSE)),0,VLOOKUP($C64,KMS_Det!$C$17:$H$95,6,FALSE))</f>
        <v>0</v>
      </c>
      <c r="S64" s="23">
        <f>IF(ISNA(VLOOKUP($C64,WGI_Det!$C$17:$H$77,6,FALSE)),0,VLOOKUP($C64,WGI_Det!$C$17:$H$77,6,FALSE))</f>
        <v>1</v>
      </c>
      <c r="T64" s="23">
        <f>IF(ISNA(VLOOKUP($C64,BGE_Det!$C$17:$H$91,6,FALSE)),0,VLOOKUP($C64,BGE_Det!$C$17:$H$91,6,FALSE))</f>
        <v>0</v>
      </c>
      <c r="U64" s="23">
        <f>IF(ISNA(VLOOKUP($C64,LDL_Det!$C$17:$H$73,6,FALSE)),0,VLOOKUP($C64,LDL_Det!$C$17:$H$73,6,FALSE))</f>
        <v>0</v>
      </c>
      <c r="W64" s="235"/>
      <c r="X64" s="235"/>
      <c r="Y64" s="235"/>
    </row>
    <row r="65" spans="1:25" s="72" customFormat="1" x14ac:dyDescent="0.25">
      <c r="A65" s="362" t="s">
        <v>381</v>
      </c>
      <c r="C65" s="65" t="s">
        <v>421</v>
      </c>
      <c r="D65" s="65" t="s">
        <v>421</v>
      </c>
      <c r="E65" s="458"/>
      <c r="F65" s="66" t="s">
        <v>91</v>
      </c>
      <c r="G65" s="67" t="s">
        <v>3</v>
      </c>
      <c r="H65" s="68" t="s">
        <v>27</v>
      </c>
      <c r="I65" s="69">
        <v>0.62196000000000007</v>
      </c>
      <c r="J65" s="458"/>
      <c r="K65" s="458"/>
      <c r="L65" s="382"/>
      <c r="M65" s="70"/>
      <c r="N65" s="23">
        <f>IF(ISNA(VLOOKUP($C65,WOTS_Det!$C$17:$H$97,6,FALSE)),0,VLOOKUP($C65,WOTS_Det!$C$17:$H$97,6,FALSE))</f>
        <v>0</v>
      </c>
      <c r="O65" s="23">
        <f>IF(ISNA(VLOOKUP($C65,BDL_Det!$C$17:$H$107,6,FALSE)),0,VLOOKUP($C65,BDL_Det!$C$17:$H$107,6,FALSE))</f>
        <v>6</v>
      </c>
      <c r="P65" s="23">
        <f>IF(ISNA(VLOOKUP($C65,ELM_Det!$C$17:$H$101,6,FALSE)),0,VLOOKUP($C65,ELM_Det!$C$17:$H$101,6,FALSE))</f>
        <v>0</v>
      </c>
      <c r="Q65" s="23">
        <f>IF(ISNA(VLOOKUP($C65,RWN_Det!$C$17:$H$98,6,FALSE)),0,VLOOKUP($C65,RWN_Det!$C$17:$H$98,6,FALSE))</f>
        <v>0</v>
      </c>
      <c r="R65" s="23">
        <f>IF(ISNA(VLOOKUP($C65,KMS_Det!$C$17:$H$95,6,FALSE)),0,VLOOKUP($C65,KMS_Det!$C$17:$H$95,6,FALSE))</f>
        <v>0</v>
      </c>
      <c r="S65" s="23">
        <f>IF(ISNA(VLOOKUP($C65,WGI_Det!$C$17:$H$77,6,FALSE)),0,VLOOKUP($C65,WGI_Det!$C$17:$H$77,6,FALSE))</f>
        <v>0</v>
      </c>
      <c r="T65" s="23">
        <f>IF(ISNA(VLOOKUP($C65,BGE_Det!$C$17:$H$91,6,FALSE)),0,VLOOKUP($C65,BGE_Det!$C$17:$H$91,6,FALSE))</f>
        <v>0</v>
      </c>
      <c r="U65" s="23">
        <f>IF(ISNA(VLOOKUP($C65,LDL_Det!$C$17:$H$73,6,FALSE)),0,VLOOKUP($C65,LDL_Det!$C$17:$H$73,6,FALSE))</f>
        <v>0</v>
      </c>
      <c r="W65" s="235"/>
      <c r="X65" s="235"/>
      <c r="Y65" s="235"/>
    </row>
    <row r="66" spans="1:25" s="72" customFormat="1" x14ac:dyDescent="0.25">
      <c r="A66" s="362" t="s">
        <v>381</v>
      </c>
      <c r="C66" s="65" t="s">
        <v>422</v>
      </c>
      <c r="D66" s="65" t="s">
        <v>422</v>
      </c>
      <c r="E66" s="458"/>
      <c r="F66" s="66" t="s">
        <v>91</v>
      </c>
      <c r="G66" s="67" t="s">
        <v>3</v>
      </c>
      <c r="H66" s="68" t="s">
        <v>27</v>
      </c>
      <c r="I66" s="69">
        <v>25.198000049999997</v>
      </c>
      <c r="J66" s="458"/>
      <c r="K66" s="458"/>
      <c r="L66" s="382"/>
      <c r="M66" s="70"/>
      <c r="N66" s="23">
        <f>IF(ISNA(VLOOKUP($C66,WOTS_Det!$C$17:$H$97,6,FALSE)),0,VLOOKUP($C66,WOTS_Det!$C$17:$H$97,6,FALSE))</f>
        <v>0</v>
      </c>
      <c r="O66" s="23">
        <f>IF(ISNA(VLOOKUP($C66,BDL_Det!$C$17:$H$107,6,FALSE)),0,VLOOKUP($C66,BDL_Det!$C$17:$H$107,6,FALSE))</f>
        <v>2</v>
      </c>
      <c r="P66" s="23">
        <f>IF(ISNA(VLOOKUP($C66,ELM_Det!$C$17:$H$101,6,FALSE)),0,VLOOKUP($C66,ELM_Det!$C$17:$H$101,6,FALSE))</f>
        <v>0</v>
      </c>
      <c r="Q66" s="23">
        <f>IF(ISNA(VLOOKUP($C66,RWN_Det!$C$17:$H$98,6,FALSE)),0,VLOOKUP($C66,RWN_Det!$C$17:$H$98,6,FALSE))</f>
        <v>0</v>
      </c>
      <c r="R66" s="23">
        <f>IF(ISNA(VLOOKUP($C66,KMS_Det!$C$17:$H$95,6,FALSE)),0,VLOOKUP($C66,KMS_Det!$C$17:$H$95,6,FALSE))</f>
        <v>0</v>
      </c>
      <c r="S66" s="23">
        <f>IF(ISNA(VLOOKUP($C66,WGI_Det!$C$17:$H$77,6,FALSE)),0,VLOOKUP($C66,WGI_Det!$C$17:$H$77,6,FALSE))</f>
        <v>0</v>
      </c>
      <c r="T66" s="23">
        <f>IF(ISNA(VLOOKUP($C66,BGE_Det!$C$17:$H$91,6,FALSE)),0,VLOOKUP($C66,BGE_Det!$C$17:$H$91,6,FALSE))</f>
        <v>0</v>
      </c>
      <c r="U66" s="23">
        <f>IF(ISNA(VLOOKUP($C66,LDL_Det!$C$17:$H$73,6,FALSE)),0,VLOOKUP($C66,LDL_Det!$C$17:$H$73,6,FALSE))</f>
        <v>0</v>
      </c>
      <c r="W66" s="235"/>
      <c r="X66" s="235"/>
      <c r="Y66" s="235"/>
    </row>
    <row r="67" spans="1:25" s="72" customFormat="1" x14ac:dyDescent="0.25">
      <c r="A67" s="362" t="s">
        <v>381</v>
      </c>
      <c r="C67" s="65" t="s">
        <v>423</v>
      </c>
      <c r="D67" s="65" t="s">
        <v>424</v>
      </c>
      <c r="E67" s="458"/>
      <c r="F67" s="66" t="s">
        <v>91</v>
      </c>
      <c r="G67" s="67" t="s">
        <v>3</v>
      </c>
      <c r="H67" s="68" t="s">
        <v>27</v>
      </c>
      <c r="I67" s="69">
        <v>117.0119598</v>
      </c>
      <c r="J67" s="458"/>
      <c r="K67" s="458"/>
      <c r="L67" s="382"/>
      <c r="M67" s="70"/>
      <c r="N67" s="23">
        <f>IF(ISNA(VLOOKUP($C67,WOTS_Det!$C$17:$H$97,6,FALSE)),0,VLOOKUP($C67,WOTS_Det!$C$17:$H$97,6,FALSE))</f>
        <v>0</v>
      </c>
      <c r="O67" s="23">
        <f>IF(ISNA(VLOOKUP($C67,BDL_Det!$C$17:$H$107,6,FALSE)),0,VLOOKUP($C67,BDL_Det!$C$17:$H$107,6,FALSE))</f>
        <v>1</v>
      </c>
      <c r="P67" s="23">
        <f>IF(ISNA(VLOOKUP($C67,ELM_Det!$C$17:$H$101,6,FALSE)),0,VLOOKUP($C67,ELM_Det!$C$17:$H$101,6,FALSE))</f>
        <v>0</v>
      </c>
      <c r="Q67" s="23">
        <f>IF(ISNA(VLOOKUP($C67,RWN_Det!$C$17:$H$98,6,FALSE)),0,VLOOKUP($C67,RWN_Det!$C$17:$H$98,6,FALSE))</f>
        <v>0</v>
      </c>
      <c r="R67" s="23">
        <f>IF(ISNA(VLOOKUP($C67,KMS_Det!$C$17:$H$95,6,FALSE)),0,VLOOKUP($C67,KMS_Det!$C$17:$H$95,6,FALSE))</f>
        <v>0</v>
      </c>
      <c r="S67" s="23">
        <f>IF(ISNA(VLOOKUP($C67,WGI_Det!$C$17:$H$77,6,FALSE)),0,VLOOKUP($C67,WGI_Det!$C$17:$H$77,6,FALSE))</f>
        <v>0</v>
      </c>
      <c r="T67" s="23">
        <f>IF(ISNA(VLOOKUP($C67,BGE_Det!$C$17:$H$91,6,FALSE)),0,VLOOKUP($C67,BGE_Det!$C$17:$H$91,6,FALSE))</f>
        <v>0</v>
      </c>
      <c r="U67" s="23">
        <f>IF(ISNA(VLOOKUP($C67,LDL_Det!$C$17:$H$73,6,FALSE)),0,VLOOKUP($C67,LDL_Det!$C$17:$H$73,6,FALSE))</f>
        <v>0</v>
      </c>
      <c r="W67" s="235"/>
      <c r="X67" s="235"/>
      <c r="Y67" s="235"/>
    </row>
    <row r="68" spans="1:25" s="72" customFormat="1" x14ac:dyDescent="0.25">
      <c r="A68" s="362" t="s">
        <v>381</v>
      </c>
      <c r="C68" s="65" t="s">
        <v>425</v>
      </c>
      <c r="D68" s="65" t="s">
        <v>426</v>
      </c>
      <c r="E68" s="458"/>
      <c r="F68" s="66" t="s">
        <v>91</v>
      </c>
      <c r="G68" s="67" t="s">
        <v>3</v>
      </c>
      <c r="H68" s="68" t="s">
        <v>27</v>
      </c>
      <c r="I68" s="69">
        <v>23.788</v>
      </c>
      <c r="J68" s="458"/>
      <c r="K68" s="458"/>
      <c r="L68" s="382"/>
      <c r="M68" s="70"/>
      <c r="N68" s="23">
        <f>IF(ISNA(VLOOKUP($C68,WOTS_Det!$C$17:$H$97,6,FALSE)),0,VLOOKUP($C68,WOTS_Det!$C$17:$H$97,6,FALSE))</f>
        <v>0</v>
      </c>
      <c r="O68" s="23">
        <f>IF(ISNA(VLOOKUP($C68,BDL_Det!$C$17:$H$107,6,FALSE)),0,VLOOKUP($C68,BDL_Det!$C$17:$H$107,6,FALSE))</f>
        <v>2</v>
      </c>
      <c r="P68" s="23">
        <f>IF(ISNA(VLOOKUP($C68,ELM_Det!$C$17:$H$101,6,FALSE)),0,VLOOKUP($C68,ELM_Det!$C$17:$H$101,6,FALSE))</f>
        <v>0</v>
      </c>
      <c r="Q68" s="23">
        <f>IF(ISNA(VLOOKUP($C68,RWN_Det!$C$17:$H$98,6,FALSE)),0,VLOOKUP($C68,RWN_Det!$C$17:$H$98,6,FALSE))</f>
        <v>0</v>
      </c>
      <c r="R68" s="23">
        <f>IF(ISNA(VLOOKUP($C68,KMS_Det!$C$17:$H$95,6,FALSE)),0,VLOOKUP($C68,KMS_Det!$C$17:$H$95,6,FALSE))</f>
        <v>0</v>
      </c>
      <c r="S68" s="23">
        <f>IF(ISNA(VLOOKUP($C68,WGI_Det!$C$17:$H$77,6,FALSE)),0,VLOOKUP($C68,WGI_Det!$C$17:$H$77,6,FALSE))</f>
        <v>0</v>
      </c>
      <c r="T68" s="23">
        <f>IF(ISNA(VLOOKUP($C68,BGE_Det!$C$17:$H$91,6,FALSE)),0,VLOOKUP($C68,BGE_Det!$C$17:$H$91,6,FALSE))</f>
        <v>0</v>
      </c>
      <c r="U68" s="23">
        <f>IF(ISNA(VLOOKUP($C68,LDL_Det!$C$17:$H$73,6,FALSE)),0,VLOOKUP($C68,LDL_Det!$C$17:$H$73,6,FALSE))</f>
        <v>0</v>
      </c>
      <c r="W68" s="235"/>
      <c r="X68" s="235"/>
      <c r="Y68" s="235"/>
    </row>
    <row r="69" spans="1:25" s="72" customFormat="1" x14ac:dyDescent="0.25">
      <c r="A69" s="362" t="s">
        <v>381</v>
      </c>
      <c r="C69" s="65" t="s">
        <v>352</v>
      </c>
      <c r="D69" s="65" t="s">
        <v>352</v>
      </c>
      <c r="E69" s="458"/>
      <c r="F69" s="66" t="s">
        <v>91</v>
      </c>
      <c r="G69" s="67" t="s">
        <v>3</v>
      </c>
      <c r="H69" s="68" t="s">
        <v>27</v>
      </c>
      <c r="I69" s="69">
        <v>41.255909799999998</v>
      </c>
      <c r="J69" s="458"/>
      <c r="K69" s="458"/>
      <c r="L69" s="289"/>
      <c r="M69" s="70"/>
      <c r="N69" s="23">
        <f>IF(ISNA(VLOOKUP($C69,WOTS_Det!$C$17:$H$97,6,FALSE)),0,VLOOKUP($C69,WOTS_Det!$C$17:$H$97,6,FALSE))</f>
        <v>0</v>
      </c>
      <c r="O69" s="23">
        <f>IF(ISNA(VLOOKUP($C69,BDL_Det!$C$17:$H$107,6,FALSE)),0,VLOOKUP($C69,BDL_Det!$C$17:$H$107,6,FALSE))</f>
        <v>0</v>
      </c>
      <c r="P69" s="23">
        <f>IF(ISNA(VLOOKUP($C69,ELM_Det!$C$17:$H$101,6,FALSE)),0,VLOOKUP($C69,ELM_Det!$C$17:$H$101,6,FALSE))</f>
        <v>0</v>
      </c>
      <c r="Q69" s="23">
        <f>IF(ISNA(VLOOKUP($C69,RWN_Det!$C$17:$H$98,6,FALSE)),0,VLOOKUP($C69,RWN_Det!$C$17:$H$98,6,FALSE))</f>
        <v>0</v>
      </c>
      <c r="R69" s="23">
        <f>IF(ISNA(VLOOKUP($C69,KMS_Det!$C$17:$H$95,6,FALSE)),0,VLOOKUP($C69,KMS_Det!$C$17:$H$95,6,FALSE))</f>
        <v>0</v>
      </c>
      <c r="S69" s="23">
        <f>IF(ISNA(VLOOKUP($C69,WGI_Det!$C$17:$H$77,6,FALSE)),0,VLOOKUP($C69,WGI_Det!$C$17:$H$77,6,FALSE))</f>
        <v>0</v>
      </c>
      <c r="T69" s="23">
        <f>IF(ISNA(VLOOKUP($C69,BGE_Det!$C$17:$H$91,6,FALSE)),0,VLOOKUP($C69,BGE_Det!$C$17:$H$91,6,FALSE))</f>
        <v>0</v>
      </c>
      <c r="U69" s="23">
        <f>IF(ISNA(VLOOKUP($C69,LDL_Det!$C$17:$H$73,6,FALSE)),0,VLOOKUP($C69,LDL_Det!$C$17:$H$73,6,FALSE))</f>
        <v>0</v>
      </c>
      <c r="W69" s="235"/>
      <c r="X69" s="235"/>
      <c r="Y69" s="235"/>
    </row>
    <row r="70" spans="1:25" s="72" customFormat="1" x14ac:dyDescent="0.25">
      <c r="A70" s="362" t="s">
        <v>381</v>
      </c>
      <c r="C70" s="65" t="s">
        <v>342</v>
      </c>
      <c r="D70" s="65" t="s">
        <v>342</v>
      </c>
      <c r="E70" s="458"/>
      <c r="F70" s="66" t="s">
        <v>91</v>
      </c>
      <c r="G70" s="67" t="s">
        <v>3</v>
      </c>
      <c r="H70" s="68" t="s">
        <v>27</v>
      </c>
      <c r="I70" s="69">
        <v>106.81319599999999</v>
      </c>
      <c r="J70" s="458"/>
      <c r="K70" s="458"/>
      <c r="L70" s="300"/>
      <c r="M70" s="70"/>
      <c r="N70" s="23">
        <f>IF(ISNA(VLOOKUP($C70,WOTS_Det!$C$17:$H$97,6,FALSE)),0,VLOOKUP($C70,WOTS_Det!$C$17:$H$97,6,FALSE))</f>
        <v>0</v>
      </c>
      <c r="O70" s="23">
        <f>IF(ISNA(VLOOKUP($C70,BDL_Det!$C$17:$H$107,6,FALSE)),0,VLOOKUP($C70,BDL_Det!$C$17:$H$107,6,FALSE))</f>
        <v>0</v>
      </c>
      <c r="P70" s="23">
        <f>IF(ISNA(VLOOKUP($C70,ELM_Det!$C$17:$H$101,6,FALSE)),0,VLOOKUP($C70,ELM_Det!$C$17:$H$101,6,FALSE))</f>
        <v>0</v>
      </c>
      <c r="Q70" s="23">
        <f>IF(ISNA(VLOOKUP($C70,RWN_Det!$C$17:$H$98,6,FALSE)),0,VLOOKUP($C70,RWN_Det!$C$17:$H$98,6,FALSE))</f>
        <v>0</v>
      </c>
      <c r="R70" s="23">
        <f>IF(ISNA(VLOOKUP($C70,KMS_Det!$C$17:$H$95,6,FALSE)),0,VLOOKUP($C70,KMS_Det!$C$17:$H$95,6,FALSE))</f>
        <v>0</v>
      </c>
      <c r="S70" s="23">
        <f>IF(ISNA(VLOOKUP($C70,WGI_Det!$C$17:$H$77,6,FALSE)),0,VLOOKUP($C70,WGI_Det!$C$17:$H$77,6,FALSE))</f>
        <v>0</v>
      </c>
      <c r="T70" s="23">
        <f>IF(ISNA(VLOOKUP($C70,BGE_Det!$C$17:$H$91,6,FALSE)),0,VLOOKUP($C70,BGE_Det!$C$17:$H$91,6,FALSE))</f>
        <v>0</v>
      </c>
      <c r="U70" s="23">
        <f>IF(ISNA(VLOOKUP($C70,LDL_Det!$C$17:$H$73,6,FALSE)),0,VLOOKUP($C70,LDL_Det!$C$17:$H$73,6,FALSE))</f>
        <v>0</v>
      </c>
      <c r="W70" s="235"/>
      <c r="X70" s="235"/>
      <c r="Y70" s="235"/>
    </row>
    <row r="71" spans="1:25" s="72" customFormat="1" x14ac:dyDescent="0.25">
      <c r="A71" s="362" t="s">
        <v>381</v>
      </c>
      <c r="C71" s="65" t="s">
        <v>357</v>
      </c>
      <c r="D71" s="65" t="s">
        <v>358</v>
      </c>
      <c r="E71" s="458"/>
      <c r="F71" s="66" t="s">
        <v>91</v>
      </c>
      <c r="G71" s="67" t="s">
        <v>3</v>
      </c>
      <c r="H71" s="68" t="s">
        <v>27</v>
      </c>
      <c r="I71" s="69">
        <v>58.265687</v>
      </c>
      <c r="J71" s="458"/>
      <c r="K71" s="458"/>
      <c r="L71" s="289"/>
      <c r="M71" s="70"/>
      <c r="N71" s="23">
        <f>IF(ISNA(VLOOKUP($C71,WOTS_Det!$C$17:$H$97,6,FALSE)),0,VLOOKUP($C71,WOTS_Det!$C$17:$H$97,6,FALSE))</f>
        <v>0</v>
      </c>
      <c r="O71" s="23">
        <f>IF(ISNA(VLOOKUP($C71,BDL_Det!$C$17:$H$107,6,FALSE)),0,VLOOKUP($C71,BDL_Det!$C$17:$H$107,6,FALSE))</f>
        <v>0</v>
      </c>
      <c r="P71" s="23">
        <f>IF(ISNA(VLOOKUP($C71,ELM_Det!$C$17:$H$101,6,FALSE)),0,VLOOKUP($C71,ELM_Det!$C$17:$H$101,6,FALSE))</f>
        <v>0</v>
      </c>
      <c r="Q71" s="23">
        <f>IF(ISNA(VLOOKUP($C71,RWN_Det!$C$17:$H$98,6,FALSE)),0,VLOOKUP($C71,RWN_Det!$C$17:$H$98,6,FALSE))</f>
        <v>0</v>
      </c>
      <c r="R71" s="23">
        <f>IF(ISNA(VLOOKUP($C71,KMS_Det!$C$17:$H$95,6,FALSE)),0,VLOOKUP($C71,KMS_Det!$C$17:$H$95,6,FALSE))</f>
        <v>0</v>
      </c>
      <c r="S71" s="23">
        <f>IF(ISNA(VLOOKUP($C71,WGI_Det!$C$17:$H$77,6,FALSE)),0,VLOOKUP($C71,WGI_Det!$C$17:$H$77,6,FALSE))</f>
        <v>0</v>
      </c>
      <c r="T71" s="23">
        <f>IF(ISNA(VLOOKUP($C71,BGE_Det!$C$17:$H$91,6,FALSE)),0,VLOOKUP($C71,BGE_Det!$C$17:$H$91,6,FALSE))</f>
        <v>0</v>
      </c>
      <c r="U71" s="23">
        <f>IF(ISNA(VLOOKUP($C71,LDL_Det!$C$17:$H$73,6,FALSE)),0,VLOOKUP($C71,LDL_Det!$C$17:$H$73,6,FALSE))</f>
        <v>0</v>
      </c>
      <c r="W71" s="235"/>
      <c r="X71" s="235"/>
      <c r="Y71" s="235"/>
    </row>
    <row r="72" spans="1:25" s="72" customFormat="1" x14ac:dyDescent="0.25">
      <c r="A72" s="362" t="s">
        <v>382</v>
      </c>
      <c r="B72" s="387" t="s">
        <v>497</v>
      </c>
      <c r="C72" s="65" t="s">
        <v>474</v>
      </c>
      <c r="D72" s="65" t="s">
        <v>474</v>
      </c>
      <c r="E72" s="458"/>
      <c r="F72" s="66" t="s">
        <v>91</v>
      </c>
      <c r="G72" s="67" t="s">
        <v>2</v>
      </c>
      <c r="H72" s="68" t="s">
        <v>27</v>
      </c>
      <c r="I72" s="69">
        <v>63.471406996986254</v>
      </c>
      <c r="J72" s="458"/>
      <c r="K72" s="458"/>
      <c r="L72" s="282"/>
      <c r="M72" s="70"/>
      <c r="N72" s="23">
        <f>IF(ISNA(VLOOKUP($C72,WOTS_Det!$C$17:$H$97,6,FALSE)),0,VLOOKUP($C72,WOTS_Det!$C$17:$H$97,6,FALSE))</f>
        <v>2</v>
      </c>
      <c r="O72" s="23">
        <f>IF(ISNA(VLOOKUP($C72,BDL_Det!$C$17:$H$107,6,FALSE)),0,VLOOKUP($C72,BDL_Det!$C$17:$H$107,6,FALSE))</f>
        <v>0</v>
      </c>
      <c r="P72" s="23">
        <f>IF(ISNA(VLOOKUP($C72,ELM_Det!$C$17:$H$101,6,FALSE)),0,VLOOKUP($C72,ELM_Det!$C$17:$H$101,6,FALSE))</f>
        <v>0</v>
      </c>
      <c r="Q72" s="23">
        <f>IF(ISNA(VLOOKUP($C72,RWN_Det!$C$17:$H$98,6,FALSE)),0,VLOOKUP($C72,RWN_Det!$C$17:$H$98,6,FALSE))</f>
        <v>0</v>
      </c>
      <c r="R72" s="23">
        <f>IF(ISNA(VLOOKUP($C72,KMS_Det!$C$17:$H$95,6,FALSE)),0,VLOOKUP($C72,KMS_Det!$C$17:$H$95,6,FALSE))</f>
        <v>0</v>
      </c>
      <c r="S72" s="23">
        <f>IF(ISNA(VLOOKUP($C72,WGI_Det!$C$17:$H$77,6,FALSE)),0,VLOOKUP($C72,WGI_Det!$C$17:$H$77,6,FALSE))</f>
        <v>0</v>
      </c>
      <c r="T72" s="23">
        <f>IF(ISNA(VLOOKUP($C72,BGE_Det!$C$17:$H$91,6,FALSE)),0,VLOOKUP($C72,BGE_Det!$C$17:$H$91,6,FALSE))</f>
        <v>1</v>
      </c>
      <c r="U72" s="23">
        <f>IF(ISNA(VLOOKUP($C72,LDL_Det!$C$17:$H$73,6,FALSE)),0,VLOOKUP($C72,LDL_Det!$C$17:$H$73,6,FALSE))</f>
        <v>0</v>
      </c>
      <c r="W72" s="235"/>
      <c r="X72" s="235"/>
      <c r="Y72" s="235"/>
    </row>
    <row r="73" spans="1:25" s="72" customFormat="1" x14ac:dyDescent="0.25">
      <c r="A73" s="362" t="s">
        <v>382</v>
      </c>
      <c r="B73" s="387" t="s">
        <v>497</v>
      </c>
      <c r="C73" s="65" t="s">
        <v>475</v>
      </c>
      <c r="D73" s="65" t="s">
        <v>475</v>
      </c>
      <c r="E73" s="458"/>
      <c r="F73" s="66" t="s">
        <v>91</v>
      </c>
      <c r="G73" s="67" t="s">
        <v>2</v>
      </c>
      <c r="H73" s="68" t="s">
        <v>27</v>
      </c>
      <c r="I73" s="69">
        <v>47.41057649703847</v>
      </c>
      <c r="J73" s="458"/>
      <c r="K73" s="458"/>
      <c r="L73" s="282"/>
      <c r="M73" s="70"/>
      <c r="N73" s="23">
        <f>IF(ISNA(VLOOKUP($C73,WOTS_Det!$C$17:$H$97,6,FALSE)),0,VLOOKUP($C73,WOTS_Det!$C$17:$H$97,6,FALSE))</f>
        <v>2</v>
      </c>
      <c r="O73" s="23">
        <f>IF(ISNA(VLOOKUP($C73,BDL_Det!$C$17:$H$107,6,FALSE)),0,VLOOKUP($C73,BDL_Det!$C$17:$H$107,6,FALSE))</f>
        <v>0</v>
      </c>
      <c r="P73" s="23">
        <f>IF(ISNA(VLOOKUP($C73,ELM_Det!$C$17:$H$101,6,FALSE)),0,VLOOKUP($C73,ELM_Det!$C$17:$H$101,6,FALSE))</f>
        <v>0</v>
      </c>
      <c r="Q73" s="23">
        <f>IF(ISNA(VLOOKUP($C73,RWN_Det!$C$17:$H$98,6,FALSE)),0,VLOOKUP($C73,RWN_Det!$C$17:$H$98,6,FALSE))</f>
        <v>0</v>
      </c>
      <c r="R73" s="23">
        <f>IF(ISNA(VLOOKUP($C73,KMS_Det!$C$17:$H$95,6,FALSE)),0,VLOOKUP($C73,KMS_Det!$C$17:$H$95,6,FALSE))</f>
        <v>0</v>
      </c>
      <c r="S73" s="23">
        <f>IF(ISNA(VLOOKUP($C73,WGI_Det!$C$17:$H$77,6,FALSE)),0,VLOOKUP($C73,WGI_Det!$C$17:$H$77,6,FALSE))</f>
        <v>0</v>
      </c>
      <c r="T73" s="23">
        <f>IF(ISNA(VLOOKUP($C73,BGE_Det!$C$17:$H$91,6,FALSE)),0,VLOOKUP($C73,BGE_Det!$C$17:$H$91,6,FALSE))</f>
        <v>1</v>
      </c>
      <c r="U73" s="23">
        <f>IF(ISNA(VLOOKUP($C73,LDL_Det!$C$17:$H$73,6,FALSE)),0,VLOOKUP($C73,LDL_Det!$C$17:$H$73,6,FALSE))</f>
        <v>0</v>
      </c>
      <c r="W73" s="235"/>
      <c r="X73" s="235"/>
      <c r="Y73" s="235"/>
    </row>
    <row r="74" spans="1:25" s="72" customFormat="1" x14ac:dyDescent="0.25">
      <c r="A74" s="362" t="s">
        <v>382</v>
      </c>
      <c r="B74" s="431"/>
      <c r="C74" s="65" t="s">
        <v>348</v>
      </c>
      <c r="D74" s="65" t="s">
        <v>348</v>
      </c>
      <c r="E74" s="458"/>
      <c r="F74" s="66" t="s">
        <v>91</v>
      </c>
      <c r="G74" s="67" t="s">
        <v>2</v>
      </c>
      <c r="H74" s="68" t="s">
        <v>27</v>
      </c>
      <c r="I74" s="69">
        <v>76.729563200000001</v>
      </c>
      <c r="J74" s="458"/>
      <c r="K74" s="458"/>
      <c r="L74" s="282"/>
      <c r="M74" s="70"/>
      <c r="N74" s="23">
        <f>IF(ISNA(VLOOKUP($C74,WOTS_Det!$C$17:$H$97,6,FALSE)),0,VLOOKUP($C74,WOTS_Det!$C$17:$H$97,6,FALSE))</f>
        <v>0</v>
      </c>
      <c r="O74" s="23">
        <f>IF(ISNA(VLOOKUP($C74,BDL_Det!$C$17:$H$107,6,FALSE)),0,VLOOKUP($C74,BDL_Det!$C$17:$H$107,6,FALSE))</f>
        <v>0</v>
      </c>
      <c r="P74" s="23">
        <f>IF(ISNA(VLOOKUP($C74,ELM_Det!$C$17:$H$101,6,FALSE)),0,VLOOKUP($C74,ELM_Det!$C$17:$H$101,6,FALSE))</f>
        <v>0</v>
      </c>
      <c r="Q74" s="23">
        <f>IF(ISNA(VLOOKUP($C74,RWN_Det!$C$17:$H$98,6,FALSE)),0,VLOOKUP($C74,RWN_Det!$C$17:$H$98,6,FALSE))</f>
        <v>0</v>
      </c>
      <c r="R74" s="23">
        <f>IF(ISNA(VLOOKUP($C74,KMS_Det!$C$17:$H$95,6,FALSE)),0,VLOOKUP($C74,KMS_Det!$C$17:$H$95,6,FALSE))</f>
        <v>0</v>
      </c>
      <c r="S74" s="23">
        <f>IF(ISNA(VLOOKUP($C74,WGI_Det!$C$17:$H$77,6,FALSE)),0,VLOOKUP($C74,WGI_Det!$C$17:$H$77,6,FALSE))</f>
        <v>0</v>
      </c>
      <c r="T74" s="23">
        <f>IF(ISNA(VLOOKUP($C74,BGE_Det!$C$17:$H$91,6,FALSE)),0,VLOOKUP($C74,BGE_Det!$C$17:$H$91,6,FALSE))</f>
        <v>0</v>
      </c>
      <c r="U74" s="23">
        <f>IF(ISNA(VLOOKUP($C74,LDL_Det!$C$17:$H$73,6,FALSE)),0,VLOOKUP($C74,LDL_Det!$C$17:$H$73,6,FALSE))</f>
        <v>0</v>
      </c>
      <c r="W74" s="235"/>
      <c r="X74" s="235"/>
      <c r="Y74" s="235"/>
    </row>
    <row r="75" spans="1:25" s="72" customFormat="1" x14ac:dyDescent="0.25">
      <c r="A75" s="362" t="s">
        <v>382</v>
      </c>
      <c r="B75" s="431"/>
      <c r="C75" s="65" t="s">
        <v>349</v>
      </c>
      <c r="D75" s="65" t="s">
        <v>359</v>
      </c>
      <c r="E75" s="458"/>
      <c r="F75" s="66" t="s">
        <v>91</v>
      </c>
      <c r="G75" s="67" t="s">
        <v>2</v>
      </c>
      <c r="H75" s="68" t="s">
        <v>27</v>
      </c>
      <c r="I75" s="69">
        <v>223.65781870000001</v>
      </c>
      <c r="J75" s="458"/>
      <c r="K75" s="458"/>
      <c r="L75" s="282"/>
      <c r="M75" s="70"/>
      <c r="N75" s="23">
        <f>IF(ISNA(VLOOKUP($C75,WOTS_Det!$C$17:$H$97,6,FALSE)),0,VLOOKUP($C75,WOTS_Det!$C$17:$H$97,6,FALSE))</f>
        <v>0</v>
      </c>
      <c r="O75" s="23">
        <f>IF(ISNA(VLOOKUP($C75,BDL_Det!$C$17:$H$107,6,FALSE)),0,VLOOKUP($C75,BDL_Det!$C$17:$H$107,6,FALSE))</f>
        <v>0</v>
      </c>
      <c r="P75" s="23">
        <f>IF(ISNA(VLOOKUP($C75,ELM_Det!$C$17:$H$101,6,FALSE)),0,VLOOKUP($C75,ELM_Det!$C$17:$H$101,6,FALSE))</f>
        <v>0</v>
      </c>
      <c r="Q75" s="23">
        <f>IF(ISNA(VLOOKUP($C75,RWN_Det!$C$17:$H$98,6,FALSE)),0,VLOOKUP($C75,RWN_Det!$C$17:$H$98,6,FALSE))</f>
        <v>0</v>
      </c>
      <c r="R75" s="23">
        <f>IF(ISNA(VLOOKUP($C75,KMS_Det!$C$17:$H$95,6,FALSE)),0,VLOOKUP($C75,KMS_Det!$C$17:$H$95,6,FALSE))</f>
        <v>0</v>
      </c>
      <c r="S75" s="23">
        <f>IF(ISNA(VLOOKUP($C75,WGI_Det!$C$17:$H$77,6,FALSE)),0,VLOOKUP($C75,WGI_Det!$C$17:$H$77,6,FALSE))</f>
        <v>0</v>
      </c>
      <c r="T75" s="23">
        <f>IF(ISNA(VLOOKUP($C75,BGE_Det!$C$17:$H$91,6,FALSE)),0,VLOOKUP($C75,BGE_Det!$C$17:$H$91,6,FALSE))</f>
        <v>0</v>
      </c>
      <c r="U75" s="23">
        <f>IF(ISNA(VLOOKUP($C75,LDL_Det!$C$17:$H$73,6,FALSE)),0,VLOOKUP($C75,LDL_Det!$C$17:$H$73,6,FALSE))</f>
        <v>0</v>
      </c>
      <c r="W75" s="235"/>
      <c r="X75" s="235"/>
      <c r="Y75" s="235"/>
    </row>
    <row r="76" spans="1:25" s="72" customFormat="1" x14ac:dyDescent="0.25">
      <c r="A76" s="362" t="s">
        <v>382</v>
      </c>
      <c r="B76" s="431"/>
      <c r="C76" s="65" t="s">
        <v>350</v>
      </c>
      <c r="D76" s="65" t="s">
        <v>351</v>
      </c>
      <c r="E76" s="458"/>
      <c r="F76" s="66" t="s">
        <v>91</v>
      </c>
      <c r="G76" s="67" t="s">
        <v>2</v>
      </c>
      <c r="H76" s="68" t="s">
        <v>27</v>
      </c>
      <c r="I76" s="69">
        <v>252.11545104999999</v>
      </c>
      <c r="J76" s="458"/>
      <c r="K76" s="458"/>
      <c r="L76" s="282"/>
      <c r="M76" s="70"/>
      <c r="N76" s="23">
        <f>IF(ISNA(VLOOKUP($C76,WOTS_Det!$C$17:$H$97,6,FALSE)),0,VLOOKUP($C76,WOTS_Det!$C$17:$H$97,6,FALSE))</f>
        <v>0</v>
      </c>
      <c r="O76" s="23">
        <f>IF(ISNA(VLOOKUP($C76,BDL_Det!$C$17:$H$107,6,FALSE)),0,VLOOKUP($C76,BDL_Det!$C$17:$H$107,6,FALSE))</f>
        <v>0</v>
      </c>
      <c r="P76" s="23">
        <f>IF(ISNA(VLOOKUP($C76,ELM_Det!$C$17:$H$101,6,FALSE)),0,VLOOKUP($C76,ELM_Det!$C$17:$H$101,6,FALSE))</f>
        <v>0</v>
      </c>
      <c r="Q76" s="23">
        <f>IF(ISNA(VLOOKUP($C76,RWN_Det!$C$17:$H$98,6,FALSE)),0,VLOOKUP($C76,RWN_Det!$C$17:$H$98,6,FALSE))</f>
        <v>0</v>
      </c>
      <c r="R76" s="23">
        <f>IF(ISNA(VLOOKUP($C76,KMS_Det!$C$17:$H$95,6,FALSE)),0,VLOOKUP($C76,KMS_Det!$C$17:$H$95,6,FALSE))</f>
        <v>0</v>
      </c>
      <c r="S76" s="23">
        <f>IF(ISNA(VLOOKUP($C76,WGI_Det!$C$17:$H$77,6,FALSE)),0,VLOOKUP($C76,WGI_Det!$C$17:$H$77,6,FALSE))</f>
        <v>0</v>
      </c>
      <c r="T76" s="23">
        <f>IF(ISNA(VLOOKUP($C76,BGE_Det!$C$17:$H$91,6,FALSE)),0,VLOOKUP($C76,BGE_Det!$C$17:$H$91,6,FALSE))</f>
        <v>0</v>
      </c>
      <c r="U76" s="23">
        <f>IF(ISNA(VLOOKUP($C76,LDL_Det!$C$17:$H$73,6,FALSE)),0,VLOOKUP($C76,LDL_Det!$C$17:$H$73,6,FALSE))</f>
        <v>0</v>
      </c>
      <c r="W76" s="235"/>
      <c r="X76" s="235"/>
      <c r="Y76" s="235"/>
    </row>
    <row r="77" spans="1:25" s="72" customFormat="1" x14ac:dyDescent="0.25">
      <c r="A77" s="362" t="s">
        <v>382</v>
      </c>
      <c r="B77" s="387" t="s">
        <v>497</v>
      </c>
      <c r="C77" s="65" t="s">
        <v>435</v>
      </c>
      <c r="D77" s="65" t="s">
        <v>435</v>
      </c>
      <c r="E77" s="458"/>
      <c r="F77" s="66" t="s">
        <v>91</v>
      </c>
      <c r="G77" s="67" t="s">
        <v>2</v>
      </c>
      <c r="H77" s="68" t="s">
        <v>27</v>
      </c>
      <c r="I77" s="69">
        <v>58.417057313358185</v>
      </c>
      <c r="J77" s="458"/>
      <c r="K77" s="458"/>
      <c r="L77" s="282"/>
      <c r="M77" s="70"/>
      <c r="N77" s="23">
        <f>IF(ISNA(VLOOKUP($C77,WOTS_Det!$C$17:$H$97,6,FALSE)),0,VLOOKUP($C77,WOTS_Det!$C$17:$H$97,6,FALSE))</f>
        <v>0</v>
      </c>
      <c r="O77" s="23">
        <f>IF(ISNA(VLOOKUP($C77,BDL_Det!$C$17:$H$107,6,FALSE)),0,VLOOKUP($C77,BDL_Det!$C$17:$H$107,6,FALSE))</f>
        <v>0</v>
      </c>
      <c r="P77" s="23">
        <f>IF(ISNA(VLOOKUP($C77,ELM_Det!$C$17:$H$101,6,FALSE)),0,VLOOKUP($C77,ELM_Det!$C$17:$H$101,6,FALSE))</f>
        <v>0</v>
      </c>
      <c r="Q77" s="23">
        <f>IF(ISNA(VLOOKUP($C77,RWN_Det!$C$17:$H$98,6,FALSE)),0,VLOOKUP($C77,RWN_Det!$C$17:$H$98,6,FALSE))</f>
        <v>2</v>
      </c>
      <c r="R77" s="23">
        <f>IF(ISNA(VLOOKUP($C77,KMS_Det!$C$17:$H$95,6,FALSE)),0,VLOOKUP($C77,KMS_Det!$C$17:$H$95,6,FALSE))</f>
        <v>0</v>
      </c>
      <c r="S77" s="23">
        <f>IF(ISNA(VLOOKUP($C77,WGI_Det!$C$17:$H$77,6,FALSE)),0,VLOOKUP($C77,WGI_Det!$C$17:$H$77,6,FALSE))</f>
        <v>0</v>
      </c>
      <c r="T77" s="23">
        <f>IF(ISNA(VLOOKUP($C77,BGE_Det!$C$17:$H$91,6,FALSE)),0,VLOOKUP($C77,BGE_Det!$C$17:$H$91,6,FALSE))</f>
        <v>0</v>
      </c>
      <c r="U77" s="23">
        <f>IF(ISNA(VLOOKUP($C77,LDL_Det!$C$17:$H$73,6,FALSE)),0,VLOOKUP($C77,LDL_Det!$C$17:$H$73,6,FALSE))</f>
        <v>0</v>
      </c>
      <c r="W77" s="235"/>
      <c r="X77" s="235"/>
      <c r="Y77" s="235"/>
    </row>
    <row r="78" spans="1:25" s="72" customFormat="1" x14ac:dyDescent="0.25">
      <c r="A78" s="328" t="s">
        <v>383</v>
      </c>
      <c r="B78" s="431"/>
      <c r="C78" s="65" t="s">
        <v>387</v>
      </c>
      <c r="D78" s="65" t="s">
        <v>397</v>
      </c>
      <c r="E78" s="458"/>
      <c r="F78" s="66" t="s">
        <v>91</v>
      </c>
      <c r="G78" s="67" t="s">
        <v>3</v>
      </c>
      <c r="H78" s="68" t="s">
        <v>27</v>
      </c>
      <c r="I78" s="69">
        <v>5.4307692307692301</v>
      </c>
      <c r="J78" s="458"/>
      <c r="K78" s="458"/>
      <c r="L78" s="282"/>
      <c r="M78" s="70"/>
      <c r="N78" s="23">
        <f>IF(ISNA(VLOOKUP($C78,WOTS_Det!$C$17:$H$97,6,FALSE)),0,VLOOKUP($C78,WOTS_Det!$C$17:$H$97,6,FALSE))</f>
        <v>0</v>
      </c>
      <c r="O78" s="23">
        <f>IF(ISNA(VLOOKUP($C78,BDL_Det!$C$17:$H$107,6,FALSE)),0,VLOOKUP($C78,BDL_Det!$C$17:$H$107,6,FALSE))</f>
        <v>0</v>
      </c>
      <c r="P78" s="23">
        <f>IF(ISNA(VLOOKUP($C78,ELM_Det!$C$17:$H$101,6,FALSE)),0,VLOOKUP($C78,ELM_Det!$C$17:$H$101,6,FALSE))</f>
        <v>0</v>
      </c>
      <c r="Q78" s="23">
        <f>IF(ISNA(VLOOKUP($C78,RWN_Det!$C$17:$H$98,6,FALSE)),0,VLOOKUP($C78,RWN_Det!$C$17:$H$98,6,FALSE))</f>
        <v>0</v>
      </c>
      <c r="R78" s="23">
        <f>IF(ISNA(VLOOKUP($C78,KMS_Det!$C$17:$H$95,6,FALSE)),0,VLOOKUP($C78,KMS_Det!$C$17:$H$95,6,FALSE))</f>
        <v>0</v>
      </c>
      <c r="S78" s="23">
        <f>IF(ISNA(VLOOKUP($C78,WGI_Det!$C$17:$H$77,6,FALSE)),0,VLOOKUP($C78,WGI_Det!$C$17:$H$77,6,FALSE))</f>
        <v>0</v>
      </c>
      <c r="T78" s="23">
        <f>IF(ISNA(VLOOKUP($C78,BGE_Det!$C$17:$H$91,6,FALSE)),0,VLOOKUP($C78,BGE_Det!$C$17:$H$91,6,FALSE))</f>
        <v>0</v>
      </c>
      <c r="U78" s="23">
        <f>IF(ISNA(VLOOKUP($C78,LDL_Det!$C$17:$H$73,6,FALSE)),0,VLOOKUP($C78,LDL_Det!$C$17:$H$73,6,FALSE))</f>
        <v>0</v>
      </c>
      <c r="W78" s="235"/>
      <c r="X78" s="235"/>
      <c r="Y78" s="235"/>
    </row>
    <row r="79" spans="1:25" s="72" customFormat="1" x14ac:dyDescent="0.25">
      <c r="A79" s="328" t="s">
        <v>383</v>
      </c>
      <c r="B79" s="431"/>
      <c r="C79" s="65" t="s">
        <v>372</v>
      </c>
      <c r="D79" s="65" t="s">
        <v>368</v>
      </c>
      <c r="E79" s="458"/>
      <c r="F79" s="66" t="s">
        <v>91</v>
      </c>
      <c r="G79" s="67" t="s">
        <v>3</v>
      </c>
      <c r="H79" s="68" t="s">
        <v>27</v>
      </c>
      <c r="I79" s="69">
        <v>0.40306153846153847</v>
      </c>
      <c r="J79" s="458"/>
      <c r="K79" s="458"/>
      <c r="L79" s="282"/>
      <c r="M79" s="70"/>
      <c r="N79" s="23">
        <f>IF(ISNA(VLOOKUP($C79,WOTS_Det!$C$17:$H$97,6,FALSE)),0,VLOOKUP($C79,WOTS_Det!$C$17:$H$97,6,FALSE))</f>
        <v>0</v>
      </c>
      <c r="O79" s="23">
        <f>IF(ISNA(VLOOKUP($C79,BDL_Det!$C$17:$H$107,6,FALSE)),0,VLOOKUP($C79,BDL_Det!$C$17:$H$107,6,FALSE))</f>
        <v>0</v>
      </c>
      <c r="P79" s="23">
        <f>IF(ISNA(VLOOKUP($C79,ELM_Det!$C$17:$H$101,6,FALSE)),0,VLOOKUP($C79,ELM_Det!$C$17:$H$101,6,FALSE))</f>
        <v>0</v>
      </c>
      <c r="Q79" s="23">
        <f>IF(ISNA(VLOOKUP($C79,RWN_Det!$C$17:$H$98,6,FALSE)),0,VLOOKUP($C79,RWN_Det!$C$17:$H$98,6,FALSE))</f>
        <v>0</v>
      </c>
      <c r="R79" s="23">
        <f>IF(ISNA(VLOOKUP($C79,KMS_Det!$C$17:$H$95,6,FALSE)),0,VLOOKUP($C79,KMS_Det!$C$17:$H$95,6,FALSE))</f>
        <v>0</v>
      </c>
      <c r="S79" s="23">
        <f>IF(ISNA(VLOOKUP($C79,WGI_Det!$C$17:$H$77,6,FALSE)),0,VLOOKUP($C79,WGI_Det!$C$17:$H$77,6,FALSE))</f>
        <v>0</v>
      </c>
      <c r="T79" s="23">
        <f>IF(ISNA(VLOOKUP($C79,BGE_Det!$C$17:$H$91,6,FALSE)),0,VLOOKUP($C79,BGE_Det!$C$17:$H$91,6,FALSE))</f>
        <v>0</v>
      </c>
      <c r="U79" s="23">
        <f>IF(ISNA(VLOOKUP($C79,LDL_Det!$C$17:$H$73,6,FALSE)),0,VLOOKUP($C79,LDL_Det!$C$17:$H$73,6,FALSE))</f>
        <v>0</v>
      </c>
      <c r="W79" s="235"/>
      <c r="X79" s="235"/>
      <c r="Y79" s="235"/>
    </row>
    <row r="80" spans="1:25" s="72" customFormat="1" x14ac:dyDescent="0.25">
      <c r="A80" s="328" t="s">
        <v>383</v>
      </c>
      <c r="B80" s="431"/>
      <c r="C80" s="65" t="s">
        <v>378</v>
      </c>
      <c r="D80" s="65" t="s">
        <v>379</v>
      </c>
      <c r="E80" s="458"/>
      <c r="F80" s="66" t="s">
        <v>91</v>
      </c>
      <c r="G80" s="67" t="s">
        <v>92</v>
      </c>
      <c r="H80" s="68" t="s">
        <v>27</v>
      </c>
      <c r="I80" s="69">
        <v>0.66461538461538461</v>
      </c>
      <c r="J80" s="458"/>
      <c r="K80" s="458"/>
      <c r="L80" s="282"/>
      <c r="M80" s="70"/>
      <c r="N80" s="23">
        <f>IF(ISNA(VLOOKUP($C80,WOTS_Det!$C$17:$H$97,6,FALSE)),0,VLOOKUP($C80,WOTS_Det!$C$17:$H$97,6,FALSE))</f>
        <v>0</v>
      </c>
      <c r="O80" s="23">
        <f>IF(ISNA(VLOOKUP($C80,BDL_Det!$C$17:$H$107,6,FALSE)),0,VLOOKUP($C80,BDL_Det!$C$17:$H$107,6,FALSE))</f>
        <v>0</v>
      </c>
      <c r="P80" s="23">
        <f>IF(ISNA(VLOOKUP($C80,ELM_Det!$C$17:$H$101,6,FALSE)),0,VLOOKUP($C80,ELM_Det!$C$17:$H$101,6,FALSE))</f>
        <v>0</v>
      </c>
      <c r="Q80" s="23">
        <f>IF(ISNA(VLOOKUP($C80,RWN_Det!$C$17:$H$98,6,FALSE)),0,VLOOKUP($C80,RWN_Det!$C$17:$H$98,6,FALSE))</f>
        <v>0</v>
      </c>
      <c r="R80" s="23">
        <f>IF(ISNA(VLOOKUP($C80,KMS_Det!$C$17:$H$95,6,FALSE)),0,VLOOKUP($C80,KMS_Det!$C$17:$H$95,6,FALSE))</f>
        <v>0</v>
      </c>
      <c r="S80" s="23">
        <f>IF(ISNA(VLOOKUP($C80,WGI_Det!$C$17:$H$77,6,FALSE)),0,VLOOKUP($C80,WGI_Det!$C$17:$H$77,6,FALSE))</f>
        <v>0</v>
      </c>
      <c r="T80" s="23">
        <f>IF(ISNA(VLOOKUP($C80,BGE_Det!$C$17:$H$91,6,FALSE)),0,VLOOKUP($C80,BGE_Det!$C$17:$H$91,6,FALSE))</f>
        <v>0</v>
      </c>
      <c r="U80" s="23">
        <f>IF(ISNA(VLOOKUP($C80,LDL_Det!$C$17:$H$73,6,FALSE)),0,VLOOKUP($C80,LDL_Det!$C$17:$H$73,6,FALSE))</f>
        <v>0</v>
      </c>
      <c r="W80" s="235"/>
      <c r="X80" s="235"/>
      <c r="Y80" s="235"/>
    </row>
    <row r="81" spans="1:25" s="72" customFormat="1" x14ac:dyDescent="0.25">
      <c r="A81" s="328" t="s">
        <v>383</v>
      </c>
      <c r="B81" s="431"/>
      <c r="C81" s="65" t="s">
        <v>377</v>
      </c>
      <c r="D81" s="65" t="s">
        <v>380</v>
      </c>
      <c r="E81" s="458"/>
      <c r="F81" s="66" t="s">
        <v>91</v>
      </c>
      <c r="G81" s="67" t="s">
        <v>92</v>
      </c>
      <c r="H81" s="68" t="s">
        <v>27</v>
      </c>
      <c r="I81" s="69">
        <v>0.43615384615384611</v>
      </c>
      <c r="J81" s="458"/>
      <c r="K81" s="458"/>
      <c r="L81" s="282"/>
      <c r="M81" s="70"/>
      <c r="N81" s="23">
        <f>IF(ISNA(VLOOKUP($C81,WOTS_Det!$C$17:$H$97,6,FALSE)),0,VLOOKUP($C81,WOTS_Det!$C$17:$H$97,6,FALSE))</f>
        <v>0</v>
      </c>
      <c r="O81" s="23">
        <f>IF(ISNA(VLOOKUP($C81,BDL_Det!$C$17:$H$107,6,FALSE)),0,VLOOKUP($C81,BDL_Det!$C$17:$H$107,6,FALSE))</f>
        <v>0</v>
      </c>
      <c r="P81" s="23">
        <f>IF(ISNA(VLOOKUP($C81,ELM_Det!$C$17:$H$101,6,FALSE)),0,VLOOKUP($C81,ELM_Det!$C$17:$H$101,6,FALSE))</f>
        <v>0</v>
      </c>
      <c r="Q81" s="23">
        <f>IF(ISNA(VLOOKUP($C81,RWN_Det!$C$17:$H$98,6,FALSE)),0,VLOOKUP($C81,RWN_Det!$C$17:$H$98,6,FALSE))</f>
        <v>0</v>
      </c>
      <c r="R81" s="23">
        <f>IF(ISNA(VLOOKUP($C81,KMS_Det!$C$17:$H$95,6,FALSE)),0,VLOOKUP($C81,KMS_Det!$C$17:$H$95,6,FALSE))</f>
        <v>0</v>
      </c>
      <c r="S81" s="23">
        <f>IF(ISNA(VLOOKUP($C81,WGI_Det!$C$17:$H$77,6,FALSE)),0,VLOOKUP($C81,WGI_Det!$C$17:$H$77,6,FALSE))</f>
        <v>0</v>
      </c>
      <c r="T81" s="23">
        <f>IF(ISNA(VLOOKUP($C81,BGE_Det!$C$17:$H$91,6,FALSE)),0,VLOOKUP($C81,BGE_Det!$C$17:$H$91,6,FALSE))</f>
        <v>0</v>
      </c>
      <c r="U81" s="23">
        <f>IF(ISNA(VLOOKUP($C81,LDL_Det!$C$17:$H$73,6,FALSE)),0,VLOOKUP($C81,LDL_Det!$C$17:$H$73,6,FALSE))</f>
        <v>0</v>
      </c>
      <c r="W81" s="235"/>
      <c r="X81" s="235"/>
      <c r="Y81" s="235"/>
    </row>
    <row r="82" spans="1:25" s="72" customFormat="1" x14ac:dyDescent="0.25">
      <c r="A82" s="328" t="s">
        <v>383</v>
      </c>
      <c r="B82" s="431"/>
      <c r="C82" s="65" t="s">
        <v>363</v>
      </c>
      <c r="D82" s="65" t="s">
        <v>363</v>
      </c>
      <c r="E82" s="458"/>
      <c r="F82" s="66" t="s">
        <v>91</v>
      </c>
      <c r="G82" s="67" t="s">
        <v>3</v>
      </c>
      <c r="H82" s="68" t="s">
        <v>27</v>
      </c>
      <c r="I82" s="69">
        <v>0.24562</v>
      </c>
      <c r="J82" s="458"/>
      <c r="K82" s="458"/>
      <c r="L82" s="282"/>
      <c r="M82" s="70"/>
      <c r="N82" s="23">
        <f>IF(ISNA(VLOOKUP($C82,WOTS_Det!$C$17:$H$97,6,FALSE)),0,VLOOKUP($C82,WOTS_Det!$C$17:$H$97,6,FALSE))</f>
        <v>0</v>
      </c>
      <c r="O82" s="23">
        <f>IF(ISNA(VLOOKUP($C82,BDL_Det!$C$17:$H$107,6,FALSE)),0,VLOOKUP($C82,BDL_Det!$C$17:$H$107,6,FALSE))</f>
        <v>0</v>
      </c>
      <c r="P82" s="23">
        <f>IF(ISNA(VLOOKUP($C82,ELM_Det!$C$17:$H$101,6,FALSE)),0,VLOOKUP($C82,ELM_Det!$C$17:$H$101,6,FALSE))</f>
        <v>0</v>
      </c>
      <c r="Q82" s="23">
        <f>IF(ISNA(VLOOKUP($C82,RWN_Det!$C$17:$H$98,6,FALSE)),0,VLOOKUP($C82,RWN_Det!$C$17:$H$98,6,FALSE))</f>
        <v>0</v>
      </c>
      <c r="R82" s="23">
        <f>IF(ISNA(VLOOKUP($C82,KMS_Det!$C$17:$H$95,6,FALSE)),0,VLOOKUP($C82,KMS_Det!$C$17:$H$95,6,FALSE))</f>
        <v>0</v>
      </c>
      <c r="S82" s="23">
        <f>IF(ISNA(VLOOKUP($C82,WGI_Det!$C$17:$H$77,6,FALSE)),0,VLOOKUP($C82,WGI_Det!$C$17:$H$77,6,FALSE))</f>
        <v>0</v>
      </c>
      <c r="T82" s="23">
        <f>IF(ISNA(VLOOKUP($C82,BGE_Det!$C$17:$H$91,6,FALSE)),0,VLOOKUP($C82,BGE_Det!$C$17:$H$91,6,FALSE))</f>
        <v>0</v>
      </c>
      <c r="U82" s="23">
        <f>IF(ISNA(VLOOKUP($C82,LDL_Det!$C$17:$H$73,6,FALSE)),0,VLOOKUP($C82,LDL_Det!$C$17:$H$73,6,FALSE))</f>
        <v>0</v>
      </c>
      <c r="W82" s="235"/>
      <c r="X82" s="235"/>
      <c r="Y82" s="235"/>
    </row>
    <row r="83" spans="1:25" s="72" customFormat="1" x14ac:dyDescent="0.25">
      <c r="A83" s="328" t="s">
        <v>383</v>
      </c>
      <c r="B83" s="431"/>
      <c r="C83" s="65" t="s">
        <v>365</v>
      </c>
      <c r="D83" s="65" t="s">
        <v>370</v>
      </c>
      <c r="E83" s="458"/>
      <c r="F83" s="66" t="s">
        <v>91</v>
      </c>
      <c r="G83" s="67" t="s">
        <v>3</v>
      </c>
      <c r="H83" s="68" t="s">
        <v>27</v>
      </c>
      <c r="I83" s="69">
        <v>15.18</v>
      </c>
      <c r="J83" s="458"/>
      <c r="K83" s="458"/>
      <c r="L83" s="282"/>
      <c r="M83" s="70"/>
      <c r="N83" s="23">
        <f>IF(ISNA(VLOOKUP($C83,WOTS_Det!$C$17:$H$97,6,FALSE)),0,VLOOKUP($C83,WOTS_Det!$C$17:$H$97,6,FALSE))</f>
        <v>0</v>
      </c>
      <c r="O83" s="23">
        <f>IF(ISNA(VLOOKUP($C83,BDL_Det!$C$17:$H$107,6,FALSE)),0,VLOOKUP($C83,BDL_Det!$C$17:$H$107,6,FALSE))</f>
        <v>0</v>
      </c>
      <c r="P83" s="23">
        <f>IF(ISNA(VLOOKUP($C83,ELM_Det!$C$17:$H$101,6,FALSE)),0,VLOOKUP($C83,ELM_Det!$C$17:$H$101,6,FALSE))</f>
        <v>0</v>
      </c>
      <c r="Q83" s="23">
        <f>IF(ISNA(VLOOKUP($C83,RWN_Det!$C$17:$H$98,6,FALSE)),0,VLOOKUP($C83,RWN_Det!$C$17:$H$98,6,FALSE))</f>
        <v>0</v>
      </c>
      <c r="R83" s="23">
        <f>IF(ISNA(VLOOKUP($C83,KMS_Det!$C$17:$H$95,6,FALSE)),0,VLOOKUP($C83,KMS_Det!$C$17:$H$95,6,FALSE))</f>
        <v>0</v>
      </c>
      <c r="S83" s="23">
        <f>IF(ISNA(VLOOKUP($C83,WGI_Det!$C$17:$H$77,6,FALSE)),0,VLOOKUP($C83,WGI_Det!$C$17:$H$77,6,FALSE))</f>
        <v>0</v>
      </c>
      <c r="T83" s="23">
        <f>IF(ISNA(VLOOKUP($C83,BGE_Det!$C$17:$H$91,6,FALSE)),0,VLOOKUP($C83,BGE_Det!$C$17:$H$91,6,FALSE))</f>
        <v>0</v>
      </c>
      <c r="U83" s="23">
        <f>IF(ISNA(VLOOKUP($C83,LDL_Det!$C$17:$H$73,6,FALSE)),0,VLOOKUP($C83,LDL_Det!$C$17:$H$73,6,FALSE))</f>
        <v>0</v>
      </c>
      <c r="W83" s="235"/>
      <c r="X83" s="235"/>
      <c r="Y83" s="235"/>
    </row>
    <row r="84" spans="1:25" s="72" customFormat="1" x14ac:dyDescent="0.25">
      <c r="A84" s="328" t="s">
        <v>383</v>
      </c>
      <c r="B84" s="431"/>
      <c r="C84" s="65" t="s">
        <v>366</v>
      </c>
      <c r="D84" s="65" t="s">
        <v>371</v>
      </c>
      <c r="E84" s="458"/>
      <c r="F84" s="66" t="s">
        <v>91</v>
      </c>
      <c r="G84" s="67" t="s">
        <v>92</v>
      </c>
      <c r="H84" s="68" t="s">
        <v>27</v>
      </c>
      <c r="I84" s="69">
        <v>6.7847700000000009</v>
      </c>
      <c r="J84" s="458"/>
      <c r="K84" s="458"/>
      <c r="L84" s="282"/>
      <c r="M84" s="70"/>
      <c r="N84" s="23">
        <f>IF(ISNA(VLOOKUP($C84,WOTS_Det!$C$17:$H$97,6,FALSE)),0,VLOOKUP($C84,WOTS_Det!$C$17:$H$97,6,FALSE))</f>
        <v>0</v>
      </c>
      <c r="O84" s="23">
        <f>IF(ISNA(VLOOKUP($C84,BDL_Det!$C$17:$H$107,6,FALSE)),0,VLOOKUP($C84,BDL_Det!$C$17:$H$107,6,FALSE))</f>
        <v>0</v>
      </c>
      <c r="P84" s="23">
        <f>IF(ISNA(VLOOKUP($C84,ELM_Det!$C$17:$H$101,6,FALSE)),0,VLOOKUP($C84,ELM_Det!$C$17:$H$101,6,FALSE))</f>
        <v>0</v>
      </c>
      <c r="Q84" s="23">
        <f>IF(ISNA(VLOOKUP($C84,RWN_Det!$C$17:$H$98,6,FALSE)),0,VLOOKUP($C84,RWN_Det!$C$17:$H$98,6,FALSE))</f>
        <v>0</v>
      </c>
      <c r="R84" s="23">
        <f>IF(ISNA(VLOOKUP($C84,KMS_Det!$C$17:$H$95,6,FALSE)),0,VLOOKUP($C84,KMS_Det!$C$17:$H$95,6,FALSE))</f>
        <v>0</v>
      </c>
      <c r="S84" s="23">
        <f>IF(ISNA(VLOOKUP($C84,WGI_Det!$C$17:$H$77,6,FALSE)),0,VLOOKUP($C84,WGI_Det!$C$17:$H$77,6,FALSE))</f>
        <v>0</v>
      </c>
      <c r="T84" s="23">
        <f>IF(ISNA(VLOOKUP($C84,BGE_Det!$C$17:$H$91,6,FALSE)),0,VLOOKUP($C84,BGE_Det!$C$17:$H$91,6,FALSE))</f>
        <v>0</v>
      </c>
      <c r="U84" s="23">
        <f>IF(ISNA(VLOOKUP($C84,LDL_Det!$C$17:$H$73,6,FALSE)),0,VLOOKUP($C84,LDL_Det!$C$17:$H$73,6,FALSE))</f>
        <v>0</v>
      </c>
      <c r="W84" s="235"/>
      <c r="X84" s="235"/>
      <c r="Y84" s="235"/>
    </row>
    <row r="85" spans="1:25" s="72" customFormat="1" x14ac:dyDescent="0.25">
      <c r="A85" s="328" t="s">
        <v>383</v>
      </c>
      <c r="B85" s="431"/>
      <c r="C85" s="65" t="s">
        <v>364</v>
      </c>
      <c r="D85" s="65" t="s">
        <v>364</v>
      </c>
      <c r="E85" s="458"/>
      <c r="F85" s="66" t="s">
        <v>91</v>
      </c>
      <c r="G85" s="67" t="s">
        <v>3</v>
      </c>
      <c r="H85" s="68" t="s">
        <v>27</v>
      </c>
      <c r="I85" s="69">
        <v>0</v>
      </c>
      <c r="J85" s="458"/>
      <c r="K85" s="458"/>
      <c r="L85" s="282"/>
      <c r="M85" s="70"/>
      <c r="N85" s="23">
        <f>IF(ISNA(VLOOKUP($C85,WOTS_Det!$C$17:$H$97,6,FALSE)),0,VLOOKUP($C85,WOTS_Det!$C$17:$H$97,6,FALSE))</f>
        <v>0</v>
      </c>
      <c r="O85" s="23">
        <f>IF(ISNA(VLOOKUP($C85,BDL_Det!$C$17:$H$107,6,FALSE)),0,VLOOKUP($C85,BDL_Det!$C$17:$H$107,6,FALSE))</f>
        <v>0</v>
      </c>
      <c r="P85" s="23">
        <f>IF(ISNA(VLOOKUP($C85,ELM_Det!$C$17:$H$101,6,FALSE)),0,VLOOKUP($C85,ELM_Det!$C$17:$H$101,6,FALSE))</f>
        <v>0</v>
      </c>
      <c r="Q85" s="23">
        <f>IF(ISNA(VLOOKUP($C85,RWN_Det!$C$17:$H$98,6,FALSE)),0,VLOOKUP($C85,RWN_Det!$C$17:$H$98,6,FALSE))</f>
        <v>0</v>
      </c>
      <c r="R85" s="23">
        <f>IF(ISNA(VLOOKUP($C85,KMS_Det!$C$17:$H$95,6,FALSE)),0,VLOOKUP($C85,KMS_Det!$C$17:$H$95,6,FALSE))</f>
        <v>0</v>
      </c>
      <c r="S85" s="23">
        <f>IF(ISNA(VLOOKUP($C85,WGI_Det!$C$17:$H$77,6,FALSE)),0,VLOOKUP($C85,WGI_Det!$C$17:$H$77,6,FALSE))</f>
        <v>0</v>
      </c>
      <c r="T85" s="23">
        <f>IF(ISNA(VLOOKUP($C85,BGE_Det!$C$17:$H$91,6,FALSE)),0,VLOOKUP($C85,BGE_Det!$C$17:$H$91,6,FALSE))</f>
        <v>0</v>
      </c>
      <c r="U85" s="23">
        <f>IF(ISNA(VLOOKUP($C85,LDL_Det!$C$17:$H$73,6,FALSE)),0,VLOOKUP($C85,LDL_Det!$C$17:$H$73,6,FALSE))</f>
        <v>0</v>
      </c>
      <c r="W85" s="235"/>
      <c r="X85" s="235"/>
      <c r="Y85" s="235"/>
    </row>
    <row r="86" spans="1:25" s="72" customFormat="1" x14ac:dyDescent="0.25">
      <c r="A86" s="328" t="s">
        <v>383</v>
      </c>
      <c r="B86" s="431"/>
      <c r="C86" s="65" t="s">
        <v>390</v>
      </c>
      <c r="D86" s="65" t="s">
        <v>361</v>
      </c>
      <c r="E86" s="458"/>
      <c r="F86" s="66" t="s">
        <v>91</v>
      </c>
      <c r="G86" s="67" t="s">
        <v>3</v>
      </c>
      <c r="H86" s="68" t="s">
        <v>27</v>
      </c>
      <c r="I86" s="69">
        <v>8.7200000000000006</v>
      </c>
      <c r="J86" s="458"/>
      <c r="K86" s="458"/>
      <c r="L86" s="282"/>
      <c r="M86" s="70"/>
      <c r="N86" s="23">
        <f>IF(ISNA(VLOOKUP($C86,WOTS_Det!$C$17:$H$97,6,FALSE)),0,VLOOKUP($C86,WOTS_Det!$C$17:$H$97,6,FALSE))</f>
        <v>0</v>
      </c>
      <c r="O86" s="23">
        <f>IF(ISNA(VLOOKUP($C86,BDL_Det!$C$17:$H$107,6,FALSE)),0,VLOOKUP($C86,BDL_Det!$C$17:$H$107,6,FALSE))</f>
        <v>0</v>
      </c>
      <c r="P86" s="23">
        <f>IF(ISNA(VLOOKUP($C86,ELM_Det!$C$17:$H$101,6,FALSE)),0,VLOOKUP($C86,ELM_Det!$C$17:$H$101,6,FALSE))</f>
        <v>0</v>
      </c>
      <c r="Q86" s="23">
        <f>IF(ISNA(VLOOKUP($C86,RWN_Det!$C$17:$H$98,6,FALSE)),0,VLOOKUP($C86,RWN_Det!$C$17:$H$98,6,FALSE))</f>
        <v>0</v>
      </c>
      <c r="R86" s="23">
        <f>IF(ISNA(VLOOKUP($C86,KMS_Det!$C$17:$H$95,6,FALSE)),0,VLOOKUP($C86,KMS_Det!$C$17:$H$95,6,FALSE))</f>
        <v>0</v>
      </c>
      <c r="S86" s="23">
        <f>IF(ISNA(VLOOKUP($C86,WGI_Det!$C$17:$H$77,6,FALSE)),0,VLOOKUP($C86,WGI_Det!$C$17:$H$77,6,FALSE))</f>
        <v>0</v>
      </c>
      <c r="T86" s="23">
        <f>IF(ISNA(VLOOKUP($C86,BGE_Det!$C$17:$H$91,6,FALSE)),0,VLOOKUP($C86,BGE_Det!$C$17:$H$91,6,FALSE))</f>
        <v>0</v>
      </c>
      <c r="U86" s="23">
        <f>IF(ISNA(VLOOKUP($C86,LDL_Det!$C$17:$H$73,6,FALSE)),0,VLOOKUP($C86,LDL_Det!$C$17:$H$73,6,FALSE))</f>
        <v>0</v>
      </c>
      <c r="W86" s="235"/>
      <c r="X86" s="235"/>
      <c r="Y86" s="235"/>
    </row>
    <row r="87" spans="1:25" s="72" customFormat="1" x14ac:dyDescent="0.25">
      <c r="A87" s="328" t="s">
        <v>383</v>
      </c>
      <c r="B87" s="431"/>
      <c r="C87" s="65" t="s">
        <v>367</v>
      </c>
      <c r="D87" s="65" t="s">
        <v>367</v>
      </c>
      <c r="E87" s="458"/>
      <c r="F87" s="66" t="s">
        <v>91</v>
      </c>
      <c r="G87" s="67" t="s">
        <v>3</v>
      </c>
      <c r="H87" s="68" t="s">
        <v>27</v>
      </c>
      <c r="I87" s="69">
        <v>6.7949999999999999</v>
      </c>
      <c r="J87" s="458"/>
      <c r="K87" s="458"/>
      <c r="L87" s="282"/>
      <c r="M87" s="70"/>
      <c r="N87" s="23">
        <f>IF(ISNA(VLOOKUP($C87,WOTS_Det!$C$17:$H$97,6,FALSE)),0,VLOOKUP($C87,WOTS_Det!$C$17:$H$97,6,FALSE))</f>
        <v>0</v>
      </c>
      <c r="O87" s="23">
        <f>IF(ISNA(VLOOKUP($C87,BDL_Det!$C$17:$H$107,6,FALSE)),0,VLOOKUP($C87,BDL_Det!$C$17:$H$107,6,FALSE))</f>
        <v>0</v>
      </c>
      <c r="P87" s="23">
        <f>IF(ISNA(VLOOKUP($C87,ELM_Det!$C$17:$H$101,6,FALSE)),0,VLOOKUP($C87,ELM_Det!$C$17:$H$101,6,FALSE))</f>
        <v>0</v>
      </c>
      <c r="Q87" s="23">
        <f>IF(ISNA(VLOOKUP($C87,RWN_Det!$C$17:$H$98,6,FALSE)),0,VLOOKUP($C87,RWN_Det!$C$17:$H$98,6,FALSE))</f>
        <v>0</v>
      </c>
      <c r="R87" s="23">
        <f>IF(ISNA(VLOOKUP($C87,KMS_Det!$C$17:$H$95,6,FALSE)),0,VLOOKUP($C87,KMS_Det!$C$17:$H$95,6,FALSE))</f>
        <v>0</v>
      </c>
      <c r="S87" s="23">
        <f>IF(ISNA(VLOOKUP($C87,WGI_Det!$C$17:$H$77,6,FALSE)),0,VLOOKUP($C87,WGI_Det!$C$17:$H$77,6,FALSE))</f>
        <v>0</v>
      </c>
      <c r="T87" s="23">
        <f>IF(ISNA(VLOOKUP($C87,BGE_Det!$C$17:$H$91,6,FALSE)),0,VLOOKUP($C87,BGE_Det!$C$17:$H$91,6,FALSE))</f>
        <v>0</v>
      </c>
      <c r="U87" s="23">
        <f>IF(ISNA(VLOOKUP($C87,LDL_Det!$C$17:$H$73,6,FALSE)),0,VLOOKUP($C87,LDL_Det!$C$17:$H$73,6,FALSE))</f>
        <v>0</v>
      </c>
      <c r="W87" s="235"/>
      <c r="X87" s="235"/>
      <c r="Y87" s="235"/>
    </row>
    <row r="88" spans="1:25" s="72" customFormat="1" x14ac:dyDescent="0.25">
      <c r="A88" s="328" t="s">
        <v>383</v>
      </c>
      <c r="B88" s="431"/>
      <c r="C88" s="65" t="s">
        <v>391</v>
      </c>
      <c r="D88" s="65" t="s">
        <v>489</v>
      </c>
      <c r="E88" s="458"/>
      <c r="F88" s="66" t="s">
        <v>91</v>
      </c>
      <c r="G88" s="67" t="s">
        <v>3</v>
      </c>
      <c r="H88" s="68" t="s">
        <v>27</v>
      </c>
      <c r="I88" s="69">
        <v>0</v>
      </c>
      <c r="J88" s="458"/>
      <c r="K88" s="458"/>
      <c r="L88" s="282"/>
      <c r="M88" s="70"/>
      <c r="N88" s="23">
        <f>IF(ISNA(VLOOKUP($C88,WOTS_Det!$C$17:$H$97,6,FALSE)),0,VLOOKUP($C88,WOTS_Det!$C$17:$H$97,6,FALSE))</f>
        <v>0</v>
      </c>
      <c r="O88" s="23">
        <f>IF(ISNA(VLOOKUP($C88,BDL_Det!$C$17:$H$107,6,FALSE)),0,VLOOKUP($C88,BDL_Det!$C$17:$H$107,6,FALSE))</f>
        <v>0</v>
      </c>
      <c r="P88" s="23">
        <f>IF(ISNA(VLOOKUP($C88,ELM_Det!$C$17:$H$101,6,FALSE)),0,VLOOKUP($C88,ELM_Det!$C$17:$H$101,6,FALSE))</f>
        <v>0</v>
      </c>
      <c r="Q88" s="23">
        <f>IF(ISNA(VLOOKUP($C88,RWN_Det!$C$17:$H$98,6,FALSE)),0,VLOOKUP($C88,RWN_Det!$C$17:$H$98,6,FALSE))</f>
        <v>0</v>
      </c>
      <c r="R88" s="23">
        <f>IF(ISNA(VLOOKUP($C88,KMS_Det!$C$17:$H$95,6,FALSE)),0,VLOOKUP($C88,KMS_Det!$C$17:$H$95,6,FALSE))</f>
        <v>0</v>
      </c>
      <c r="S88" s="23">
        <f>IF(ISNA(VLOOKUP($C88,WGI_Det!$C$17:$H$77,6,FALSE)),0,VLOOKUP($C88,WGI_Det!$C$17:$H$77,6,FALSE))</f>
        <v>0</v>
      </c>
      <c r="T88" s="23">
        <f>IF(ISNA(VLOOKUP($C88,BGE_Det!$C$17:$H$91,6,FALSE)),0,VLOOKUP($C88,BGE_Det!$C$17:$H$91,6,FALSE))</f>
        <v>0</v>
      </c>
      <c r="U88" s="23">
        <f>IF(ISNA(VLOOKUP($C88,LDL_Det!$C$17:$H$73,6,FALSE)),0,VLOOKUP($C88,LDL_Det!$C$17:$H$73,6,FALSE))</f>
        <v>0</v>
      </c>
      <c r="W88" s="235"/>
      <c r="X88" s="235"/>
      <c r="Y88" s="235"/>
    </row>
    <row r="89" spans="1:25" s="72" customFormat="1" x14ac:dyDescent="0.25">
      <c r="A89" s="328" t="s">
        <v>383</v>
      </c>
      <c r="B89" s="431"/>
      <c r="C89" s="65" t="s">
        <v>402</v>
      </c>
      <c r="D89" s="65"/>
      <c r="E89" s="458"/>
      <c r="F89" s="66" t="s">
        <v>91</v>
      </c>
      <c r="G89" s="67" t="s">
        <v>3</v>
      </c>
      <c r="H89" s="68" t="s">
        <v>27</v>
      </c>
      <c r="I89" s="69">
        <v>0</v>
      </c>
      <c r="J89" s="458"/>
      <c r="K89" s="458"/>
      <c r="L89" s="282"/>
      <c r="M89" s="70"/>
      <c r="N89" s="23">
        <f>IF(ISNA(VLOOKUP($C89,WOTS_Det!$C$17:$H$97,6,FALSE)),0,VLOOKUP($C89,WOTS_Det!$C$17:$H$97,6,FALSE))</f>
        <v>0</v>
      </c>
      <c r="O89" s="23">
        <f>IF(ISNA(VLOOKUP($C89,BDL_Det!$C$17:$H$107,6,FALSE)),0,VLOOKUP($C89,BDL_Det!$C$17:$H$107,6,FALSE))</f>
        <v>0</v>
      </c>
      <c r="P89" s="23">
        <f>IF(ISNA(VLOOKUP($C89,ELM_Det!$C$17:$H$101,6,FALSE)),0,VLOOKUP($C89,ELM_Det!$C$17:$H$101,6,FALSE))</f>
        <v>0</v>
      </c>
      <c r="Q89" s="23">
        <f>IF(ISNA(VLOOKUP($C89,RWN_Det!$C$17:$H$98,6,FALSE)),0,VLOOKUP($C89,RWN_Det!$C$17:$H$98,6,FALSE))</f>
        <v>0</v>
      </c>
      <c r="R89" s="23">
        <f>IF(ISNA(VLOOKUP($C89,KMS_Det!$C$17:$H$95,6,FALSE)),0,VLOOKUP($C89,KMS_Det!$C$17:$H$95,6,FALSE))</f>
        <v>0</v>
      </c>
      <c r="S89" s="23">
        <f>IF(ISNA(VLOOKUP($C89,WGI_Det!$C$17:$H$77,6,FALSE)),0,VLOOKUP($C89,WGI_Det!$C$17:$H$77,6,FALSE))</f>
        <v>0</v>
      </c>
      <c r="T89" s="23">
        <f>IF(ISNA(VLOOKUP($C89,BGE_Det!$C$17:$H$91,6,FALSE)),0,VLOOKUP($C89,BGE_Det!$C$17:$H$91,6,FALSE))</f>
        <v>0</v>
      </c>
      <c r="U89" s="23">
        <f>IF(ISNA(VLOOKUP($C89,LDL_Det!$C$17:$H$73,6,FALSE)),0,VLOOKUP($C89,LDL_Det!$C$17:$H$73,6,FALSE))</f>
        <v>0</v>
      </c>
      <c r="W89" s="235"/>
      <c r="X89" s="235"/>
      <c r="Y89" s="235"/>
    </row>
    <row r="90" spans="1:25" s="72" customFormat="1" x14ac:dyDescent="0.25">
      <c r="A90" s="328" t="s">
        <v>383</v>
      </c>
      <c r="B90" s="431"/>
      <c r="C90" s="65" t="s">
        <v>386</v>
      </c>
      <c r="D90" s="65" t="s">
        <v>385</v>
      </c>
      <c r="E90" s="458"/>
      <c r="F90" s="66" t="s">
        <v>91</v>
      </c>
      <c r="G90" s="67" t="s">
        <v>92</v>
      </c>
      <c r="H90" s="68" t="s">
        <v>27</v>
      </c>
      <c r="I90" s="69">
        <v>6.06</v>
      </c>
      <c r="J90" s="458"/>
      <c r="K90" s="458"/>
      <c r="L90" s="298"/>
      <c r="M90" s="70"/>
      <c r="N90" s="23">
        <f>IF(ISNA(VLOOKUP($C90,WOTS_Det!$C$17:$H$97,6,FALSE)),0,VLOOKUP($C90,WOTS_Det!$C$17:$H$97,6,FALSE))</f>
        <v>1</v>
      </c>
      <c r="O90" s="23">
        <f>IF(ISNA(VLOOKUP($C90,BDL_Det!$C$17:$H$107,6,FALSE)),0,VLOOKUP($C90,BDL_Det!$C$17:$H$107,6,FALSE))</f>
        <v>0</v>
      </c>
      <c r="P90" s="23">
        <f>IF(ISNA(VLOOKUP($C90,ELM_Det!$C$17:$H$101,6,FALSE)),0,VLOOKUP($C90,ELM_Det!$C$17:$H$101,6,FALSE))</f>
        <v>0</v>
      </c>
      <c r="Q90" s="23">
        <f>IF(ISNA(VLOOKUP($C90,RWN_Det!$C$17:$H$98,6,FALSE)),0,VLOOKUP($C90,RWN_Det!$C$17:$H$98,6,FALSE))</f>
        <v>0</v>
      </c>
      <c r="R90" s="23">
        <f>IF(ISNA(VLOOKUP($C90,KMS_Det!$C$17:$H$95,6,FALSE)),0,VLOOKUP($C90,KMS_Det!$C$17:$H$95,6,FALSE))</f>
        <v>0</v>
      </c>
      <c r="S90" s="23">
        <f>IF(ISNA(VLOOKUP($C90,WGI_Det!$C$17:$H$77,6,FALSE)),0,VLOOKUP($C90,WGI_Det!$C$17:$H$77,6,FALSE))</f>
        <v>0</v>
      </c>
      <c r="T90" s="23">
        <f>IF(ISNA(VLOOKUP($C90,BGE_Det!$C$17:$H$91,6,FALSE)),0,VLOOKUP($C90,BGE_Det!$C$17:$H$91,6,FALSE))</f>
        <v>2</v>
      </c>
      <c r="U90" s="23">
        <f>IF(ISNA(VLOOKUP($C90,LDL_Det!$C$17:$H$73,6,FALSE)),0,VLOOKUP($C90,LDL_Det!$C$17:$H$73,6,FALSE))</f>
        <v>0</v>
      </c>
      <c r="W90" s="235"/>
      <c r="X90" s="235"/>
      <c r="Y90" s="235"/>
    </row>
    <row r="91" spans="1:25" s="72" customFormat="1" x14ac:dyDescent="0.25">
      <c r="A91" s="328" t="s">
        <v>383</v>
      </c>
      <c r="B91" s="387" t="s">
        <v>497</v>
      </c>
      <c r="C91" s="65" t="s">
        <v>477</v>
      </c>
      <c r="D91" s="65" t="s">
        <v>385</v>
      </c>
      <c r="E91" s="458"/>
      <c r="F91" s="66" t="s">
        <v>91</v>
      </c>
      <c r="G91" s="67" t="s">
        <v>92</v>
      </c>
      <c r="H91" s="68" t="s">
        <v>28</v>
      </c>
      <c r="I91" s="69">
        <v>6.06</v>
      </c>
      <c r="J91" s="458"/>
      <c r="K91" s="458"/>
      <c r="L91" s="409"/>
      <c r="M91" s="70"/>
      <c r="N91" s="23">
        <f>IF(ISNA(VLOOKUP($C91,WOTS_Det!$C$17:$H$97,6,FALSE)),0,VLOOKUP($C91,WOTS_Det!$C$17:$H$97,6,FALSE))</f>
        <v>2</v>
      </c>
      <c r="O91" s="23">
        <f>IF(ISNA(VLOOKUP($C91,BDL_Det!$C$17:$H$107,6,FALSE)),0,VLOOKUP($C91,BDL_Det!$C$17:$H$107,6,FALSE))</f>
        <v>0</v>
      </c>
      <c r="P91" s="23">
        <f>IF(ISNA(VLOOKUP($C91,ELM_Det!$C$17:$H$101,6,FALSE)),0,VLOOKUP($C91,ELM_Det!$C$17:$H$101,6,FALSE))</f>
        <v>0</v>
      </c>
      <c r="Q91" s="23">
        <f>IF(ISNA(VLOOKUP($C91,RWN_Det!$C$17:$H$98,6,FALSE)),0,VLOOKUP($C91,RWN_Det!$C$17:$H$98,6,FALSE))</f>
        <v>0</v>
      </c>
      <c r="R91" s="23">
        <f>IF(ISNA(VLOOKUP($C91,KMS_Det!$C$17:$H$95,6,FALSE)),0,VLOOKUP($C91,KMS_Det!$C$17:$H$95,6,FALSE))</f>
        <v>0</v>
      </c>
      <c r="S91" s="23">
        <f>IF(ISNA(VLOOKUP($C91,WGI_Det!$C$17:$H$77,6,FALSE)),0,VLOOKUP($C91,WGI_Det!$C$17:$H$77,6,FALSE))</f>
        <v>5</v>
      </c>
      <c r="T91" s="23">
        <f>IF(ISNA(VLOOKUP($C91,BGE_Det!$C$17:$H$91,6,FALSE)),0,VLOOKUP($C91,BGE_Det!$C$17:$H$91,6,FALSE))</f>
        <v>4</v>
      </c>
      <c r="U91" s="23">
        <f>IF(ISNA(VLOOKUP($C91,LDL_Det!$C$17:$H$73,6,FALSE)),0,VLOOKUP($C91,LDL_Det!$C$17:$H$73,6,FALSE))</f>
        <v>0</v>
      </c>
      <c r="W91" s="235"/>
      <c r="X91" s="235"/>
      <c r="Y91" s="235"/>
    </row>
    <row r="92" spans="1:25" s="72" customFormat="1" x14ac:dyDescent="0.25">
      <c r="A92" s="328" t="s">
        <v>383</v>
      </c>
      <c r="B92" s="431"/>
      <c r="C92" s="65" t="s">
        <v>375</v>
      </c>
      <c r="D92" s="65" t="s">
        <v>384</v>
      </c>
      <c r="E92" s="458"/>
      <c r="F92" s="66" t="s">
        <v>91</v>
      </c>
      <c r="G92" s="67" t="s">
        <v>92</v>
      </c>
      <c r="H92" s="68" t="s">
        <v>27</v>
      </c>
      <c r="I92" s="69">
        <v>6.1704999999999996E-2</v>
      </c>
      <c r="J92" s="458"/>
      <c r="K92" s="458"/>
      <c r="L92" s="282"/>
      <c r="M92" s="70"/>
      <c r="N92" s="23">
        <f>IF(ISNA(VLOOKUP($C92,WOTS_Det!$C$17:$H$97,6,FALSE)),0,VLOOKUP($C92,WOTS_Det!$C$17:$H$97,6,FALSE))</f>
        <v>0</v>
      </c>
      <c r="O92" s="23">
        <f>IF(ISNA(VLOOKUP($C92,BDL_Det!$C$17:$H$107,6,FALSE)),0,VLOOKUP($C92,BDL_Det!$C$17:$H$107,6,FALSE))</f>
        <v>0</v>
      </c>
      <c r="P92" s="23">
        <f>IF(ISNA(VLOOKUP($C92,ELM_Det!$C$17:$H$101,6,FALSE)),0,VLOOKUP($C92,ELM_Det!$C$17:$H$101,6,FALSE))</f>
        <v>0</v>
      </c>
      <c r="Q92" s="23">
        <f>IF(ISNA(VLOOKUP($C92,RWN_Det!$C$17:$H$98,6,FALSE)),0,VLOOKUP($C92,RWN_Det!$C$17:$H$98,6,FALSE))</f>
        <v>0</v>
      </c>
      <c r="R92" s="23">
        <f>IF(ISNA(VLOOKUP($C92,KMS_Det!$C$17:$H$95,6,FALSE)),0,VLOOKUP($C92,KMS_Det!$C$17:$H$95,6,FALSE))</f>
        <v>0</v>
      </c>
      <c r="S92" s="23">
        <f>IF(ISNA(VLOOKUP($C92,WGI_Det!$C$17:$H$77,6,FALSE)),0,VLOOKUP($C92,WGI_Det!$C$17:$H$77,6,FALSE))</f>
        <v>0</v>
      </c>
      <c r="T92" s="23">
        <f>IF(ISNA(VLOOKUP($C92,BGE_Det!$C$17:$H$91,6,FALSE)),0,VLOOKUP($C92,BGE_Det!$C$17:$H$91,6,FALSE))</f>
        <v>0</v>
      </c>
      <c r="U92" s="23">
        <f>IF(ISNA(VLOOKUP($C92,LDL_Det!$C$17:$H$73,6,FALSE)),0,VLOOKUP($C92,LDL_Det!$C$17:$H$73,6,FALSE))</f>
        <v>0</v>
      </c>
      <c r="W92" s="235"/>
      <c r="X92" s="235"/>
      <c r="Y92" s="235"/>
    </row>
    <row r="93" spans="1:25" s="72" customFormat="1" x14ac:dyDescent="0.25">
      <c r="A93" s="328" t="s">
        <v>383</v>
      </c>
      <c r="B93" s="387" t="s">
        <v>497</v>
      </c>
      <c r="C93" s="65" t="s">
        <v>464</v>
      </c>
      <c r="D93" s="65" t="s">
        <v>464</v>
      </c>
      <c r="E93" s="458"/>
      <c r="F93" s="66" t="s">
        <v>91</v>
      </c>
      <c r="G93" s="67" t="s">
        <v>92</v>
      </c>
      <c r="H93" s="68" t="s">
        <v>28</v>
      </c>
      <c r="I93" s="69">
        <v>0</v>
      </c>
      <c r="J93" s="458"/>
      <c r="K93" s="458"/>
      <c r="L93" s="48"/>
      <c r="M93" s="70"/>
      <c r="N93" s="23">
        <f>IF(ISNA(VLOOKUP($C93,WOTS_Det!$C$17:$H$97,6,FALSE)),0,VLOOKUP($C93,WOTS_Det!$C$17:$H$97,6,FALSE))</f>
        <v>0</v>
      </c>
      <c r="O93" s="23">
        <f>IF(ISNA(VLOOKUP($C93,BDL_Det!$C$17:$H$107,6,FALSE)),0,VLOOKUP($C93,BDL_Det!$C$17:$H$107,6,FALSE))</f>
        <v>0</v>
      </c>
      <c r="P93" s="23">
        <f>IF(ISNA(VLOOKUP($C93,ELM_Det!$C$17:$H$101,6,FALSE)),0,VLOOKUP($C93,ELM_Det!$C$17:$H$101,6,FALSE))</f>
        <v>0</v>
      </c>
      <c r="Q93" s="23">
        <f>IF(ISNA(VLOOKUP($C93,RWN_Det!$C$17:$H$98,6,FALSE)),0,VLOOKUP($C93,RWN_Det!$C$17:$H$98,6,FALSE))</f>
        <v>0</v>
      </c>
      <c r="R93" s="23">
        <f>IF(ISNA(VLOOKUP($C93,KMS_Det!$C$17:$H$95,6,FALSE)),0,VLOOKUP($C93,KMS_Det!$C$17:$H$95,6,FALSE))</f>
        <v>0</v>
      </c>
      <c r="S93" s="23">
        <f>IF(ISNA(VLOOKUP($C93,WGI_Det!$C$17:$H$77,6,FALSE)),0,VLOOKUP($C93,WGI_Det!$C$17:$H$77,6,FALSE))</f>
        <v>0</v>
      </c>
      <c r="T93" s="23">
        <f>IF(ISNA(VLOOKUP($C93,BGE_Det!$C$17:$H$91,6,FALSE)),0,VLOOKUP($C93,BGE_Det!$C$17:$H$91,6,FALSE))</f>
        <v>1.835</v>
      </c>
      <c r="U93" s="23">
        <f>IF(ISNA(VLOOKUP($C93,LDL_Det!$C$17:$H$73,6,FALSE)),0,VLOOKUP($C93,LDL_Det!$C$17:$H$73,6,FALSE))</f>
        <v>0</v>
      </c>
      <c r="W93" s="235"/>
      <c r="X93" s="235"/>
      <c r="Y93" s="235"/>
    </row>
    <row r="94" spans="1:25" s="72" customFormat="1" x14ac:dyDescent="0.25">
      <c r="A94" s="328" t="s">
        <v>383</v>
      </c>
      <c r="B94" s="387" t="s">
        <v>497</v>
      </c>
      <c r="C94" s="65" t="s">
        <v>452</v>
      </c>
      <c r="D94" s="65" t="s">
        <v>483</v>
      </c>
      <c r="E94" s="458"/>
      <c r="F94" s="66" t="s">
        <v>91</v>
      </c>
      <c r="G94" s="67" t="s">
        <v>92</v>
      </c>
      <c r="H94" s="68" t="s">
        <v>27</v>
      </c>
      <c r="I94" s="69">
        <v>4.3774577767537882E-2</v>
      </c>
      <c r="J94" s="458"/>
      <c r="K94" s="458"/>
      <c r="L94" s="48"/>
      <c r="M94" s="70"/>
      <c r="N94" s="23">
        <f>IF(ISNA(VLOOKUP($C94,WOTS_Det!$C$17:$H$97,6,FALSE)),0,VLOOKUP($C94,WOTS_Det!$C$17:$H$97,6,FALSE))</f>
        <v>200</v>
      </c>
      <c r="O94" s="23">
        <f>IF(ISNA(VLOOKUP($C94,BDL_Det!$C$17:$H$107,6,FALSE)),0,VLOOKUP($C94,BDL_Det!$C$17:$H$107,6,FALSE))</f>
        <v>0</v>
      </c>
      <c r="P94" s="23">
        <f>IF(ISNA(VLOOKUP($C94,ELM_Det!$C$17:$H$101,6,FALSE)),0,VLOOKUP($C94,ELM_Det!$C$17:$H$101,6,FALSE))</f>
        <v>0</v>
      </c>
      <c r="Q94" s="23">
        <f>IF(ISNA(VLOOKUP($C94,RWN_Det!$C$17:$H$98,6,FALSE)),0,VLOOKUP($C94,RWN_Det!$C$17:$H$98,6,FALSE))</f>
        <v>0</v>
      </c>
      <c r="R94" s="23">
        <f>IF(ISNA(VLOOKUP($C94,KMS_Det!$C$17:$H$95,6,FALSE)),0,VLOOKUP($C94,KMS_Det!$C$17:$H$95,6,FALSE))</f>
        <v>0</v>
      </c>
      <c r="S94" s="23">
        <f>IF(ISNA(VLOOKUP($C94,WGI_Det!$C$17:$H$77,6,FALSE)),0,VLOOKUP($C94,WGI_Det!$C$17:$H$77,6,FALSE))</f>
        <v>0</v>
      </c>
      <c r="T94" s="23">
        <f>IF(ISNA(VLOOKUP($C94,BGE_Det!$C$17:$H$91,6,FALSE)),0,VLOOKUP($C94,BGE_Det!$C$17:$H$91,6,FALSE))</f>
        <v>2000</v>
      </c>
      <c r="U94" s="23">
        <f>IF(ISNA(VLOOKUP($C94,LDL_Det!$C$17:$H$73,6,FALSE)),0,VLOOKUP($C94,LDL_Det!$C$17:$H$73,6,FALSE))</f>
        <v>0</v>
      </c>
      <c r="W94" s="235"/>
      <c r="X94" s="235"/>
      <c r="Y94" s="235"/>
    </row>
    <row r="95" spans="1:25" s="72" customFormat="1" x14ac:dyDescent="0.25">
      <c r="A95" s="328" t="s">
        <v>383</v>
      </c>
      <c r="B95" s="387" t="s">
        <v>497</v>
      </c>
      <c r="C95" s="65" t="s">
        <v>445</v>
      </c>
      <c r="D95" s="65" t="s">
        <v>483</v>
      </c>
      <c r="E95" s="458"/>
      <c r="F95" s="66" t="s">
        <v>91</v>
      </c>
      <c r="G95" s="67" t="s">
        <v>92</v>
      </c>
      <c r="H95" s="68" t="s">
        <v>27</v>
      </c>
      <c r="I95" s="69">
        <v>6.4197386759582073E-2</v>
      </c>
      <c r="J95" s="458"/>
      <c r="K95" s="458"/>
      <c r="L95" s="48"/>
      <c r="M95" s="70"/>
      <c r="N95" s="23">
        <f>IF(ISNA(VLOOKUP($C95,WOTS_Det!$C$17:$H$97,6,FALSE)),0,VLOOKUP($C95,WOTS_Det!$C$17:$H$97,6,FALSE))</f>
        <v>400</v>
      </c>
      <c r="O95" s="23">
        <f>IF(ISNA(VLOOKUP($C95,BDL_Det!$C$17:$H$107,6,FALSE)),0,VLOOKUP($C95,BDL_Det!$C$17:$H$107,6,FALSE))</f>
        <v>0</v>
      </c>
      <c r="P95" s="23">
        <f>IF(ISNA(VLOOKUP($C95,ELM_Det!$C$17:$H$101,6,FALSE)),0,VLOOKUP($C95,ELM_Det!$C$17:$H$101,6,FALSE))</f>
        <v>0</v>
      </c>
      <c r="Q95" s="23">
        <f>IF(ISNA(VLOOKUP($C95,RWN_Det!$C$17:$H$98,6,FALSE)),0,VLOOKUP($C95,RWN_Det!$C$17:$H$98,6,FALSE))</f>
        <v>0</v>
      </c>
      <c r="R95" s="23">
        <f>IF(ISNA(VLOOKUP($C95,KMS_Det!$C$17:$H$95,6,FALSE)),0,VLOOKUP($C95,KMS_Det!$C$17:$H$95,6,FALSE))</f>
        <v>0</v>
      </c>
      <c r="S95" s="23">
        <f>IF(ISNA(VLOOKUP($C95,WGI_Det!$C$17:$H$77,6,FALSE)),0,VLOOKUP($C95,WGI_Det!$C$17:$H$77,6,FALSE))</f>
        <v>0</v>
      </c>
      <c r="T95" s="23">
        <f>IF(ISNA(VLOOKUP($C95,BGE_Det!$C$17:$H$91,6,FALSE)),0,VLOOKUP($C95,BGE_Det!$C$17:$H$91,6,FALSE))</f>
        <v>200</v>
      </c>
      <c r="U95" s="23">
        <f>IF(ISNA(VLOOKUP($C95,LDL_Det!$C$17:$H$73,6,FALSE)),0,VLOOKUP($C95,LDL_Det!$C$17:$H$73,6,FALSE))</f>
        <v>0</v>
      </c>
      <c r="W95" s="235"/>
      <c r="X95" s="235"/>
      <c r="Y95" s="235"/>
    </row>
    <row r="96" spans="1:25" s="72" customFormat="1" x14ac:dyDescent="0.25">
      <c r="A96" s="328" t="s">
        <v>383</v>
      </c>
      <c r="B96" s="387" t="s">
        <v>497</v>
      </c>
      <c r="C96" s="65" t="s">
        <v>459</v>
      </c>
      <c r="D96" s="65" t="s">
        <v>459</v>
      </c>
      <c r="E96" s="458"/>
      <c r="F96" s="66" t="s">
        <v>91</v>
      </c>
      <c r="G96" s="67" t="s">
        <v>92</v>
      </c>
      <c r="H96" s="68" t="s">
        <v>27</v>
      </c>
      <c r="I96" s="69">
        <v>3.1911672473867689</v>
      </c>
      <c r="J96" s="458"/>
      <c r="K96" s="458"/>
      <c r="L96" s="48"/>
      <c r="M96" s="70"/>
      <c r="N96" s="23">
        <f>IF(ISNA(VLOOKUP($C96,WOTS_Det!$C$17:$H$97,6,FALSE)),0,VLOOKUP($C96,WOTS_Det!$C$17:$H$97,6,FALSE))</f>
        <v>0</v>
      </c>
      <c r="O96" s="23">
        <f>IF(ISNA(VLOOKUP($C96,BDL_Det!$C$17:$H$107,6,FALSE)),0,VLOOKUP($C96,BDL_Det!$C$17:$H$107,6,FALSE))</f>
        <v>0</v>
      </c>
      <c r="P96" s="23">
        <f>IF(ISNA(VLOOKUP($C96,ELM_Det!$C$17:$H$101,6,FALSE)),0,VLOOKUP($C96,ELM_Det!$C$17:$H$101,6,FALSE))</f>
        <v>0</v>
      </c>
      <c r="Q96" s="23">
        <f>IF(ISNA(VLOOKUP($C96,RWN_Det!$C$17:$H$98,6,FALSE)),0,VLOOKUP($C96,RWN_Det!$C$17:$H$98,6,FALSE))</f>
        <v>0</v>
      </c>
      <c r="R96" s="23">
        <f>IF(ISNA(VLOOKUP($C96,KMS_Det!$C$17:$H$95,6,FALSE)),0,VLOOKUP($C96,KMS_Det!$C$17:$H$95,6,FALSE))</f>
        <v>0</v>
      </c>
      <c r="S96" s="23">
        <f>IF(ISNA(VLOOKUP($C96,WGI_Det!$C$17:$H$77,6,FALSE)),0,VLOOKUP($C96,WGI_Det!$C$17:$H$77,6,FALSE))</f>
        <v>0</v>
      </c>
      <c r="T96" s="23">
        <f>IF(ISNA(VLOOKUP($C96,BGE_Det!$C$17:$H$91,6,FALSE)),0,VLOOKUP($C96,BGE_Det!$C$17:$H$91,6,FALSE))</f>
        <v>2</v>
      </c>
      <c r="U96" s="23">
        <f>IF(ISNA(VLOOKUP($C96,LDL_Det!$C$17:$H$73,6,FALSE)),0,VLOOKUP($C96,LDL_Det!$C$17:$H$73,6,FALSE))</f>
        <v>0</v>
      </c>
      <c r="W96" s="235"/>
      <c r="X96" s="235"/>
      <c r="Y96" s="235"/>
    </row>
    <row r="97" spans="1:25" s="72" customFormat="1" x14ac:dyDescent="0.25">
      <c r="A97" s="328" t="s">
        <v>383</v>
      </c>
      <c r="B97" s="387" t="s">
        <v>497</v>
      </c>
      <c r="C97" s="65" t="s">
        <v>429</v>
      </c>
      <c r="D97" s="65" t="s">
        <v>429</v>
      </c>
      <c r="E97" s="458"/>
      <c r="F97" s="66" t="s">
        <v>91</v>
      </c>
      <c r="G97" s="67" t="s">
        <v>92</v>
      </c>
      <c r="H97" s="68" t="s">
        <v>27</v>
      </c>
      <c r="I97" s="69">
        <v>38.181794425087219</v>
      </c>
      <c r="J97" s="458"/>
      <c r="K97" s="458"/>
      <c r="L97" s="401"/>
      <c r="M97" s="70"/>
      <c r="N97" s="23">
        <f>IF(ISNA(VLOOKUP($C97,WOTS_Det!$C$17:$H$97,6,FALSE)),0,VLOOKUP($C97,WOTS_Det!$C$17:$H$97,6,FALSE))</f>
        <v>0</v>
      </c>
      <c r="O97" s="23">
        <f>IF(ISNA(VLOOKUP($C97,BDL_Det!$C$17:$H$107,6,FALSE)),0,VLOOKUP($C97,BDL_Det!$C$17:$H$107,6,FALSE))</f>
        <v>0</v>
      </c>
      <c r="P97" s="23">
        <f>IF(ISNA(VLOOKUP($C97,ELM_Det!$C$17:$H$101,6,FALSE)),0,VLOOKUP($C97,ELM_Det!$C$17:$H$101,6,FALSE))</f>
        <v>0</v>
      </c>
      <c r="Q97" s="23">
        <f>IF(ISNA(VLOOKUP($C97,RWN_Det!$C$17:$H$98,6,FALSE)),0,VLOOKUP($C97,RWN_Det!$C$17:$H$98,6,FALSE))</f>
        <v>0</v>
      </c>
      <c r="R97" s="23">
        <f>IF(ISNA(VLOOKUP($C97,KMS_Det!$C$17:$H$95,6,FALSE)),0,VLOOKUP($C97,KMS_Det!$C$17:$H$95,6,FALSE))</f>
        <v>0</v>
      </c>
      <c r="S97" s="23">
        <f>IF(ISNA(VLOOKUP($C97,WGI_Det!$C$17:$H$77,6,FALSE)),0,VLOOKUP($C97,WGI_Det!$C$17:$H$77,6,FALSE))</f>
        <v>0</v>
      </c>
      <c r="T97" s="23">
        <f>IF(ISNA(VLOOKUP($C97,BGE_Det!$C$17:$H$91,6,FALSE)),0,VLOOKUP($C97,BGE_Det!$C$17:$H$91,6,FALSE))</f>
        <v>0</v>
      </c>
      <c r="U97" s="23">
        <f>IF(ISNA(VLOOKUP($C97,LDL_Det!$C$17:$H$73,6,FALSE)),0,VLOOKUP($C97,LDL_Det!$C$17:$H$73,6,FALSE))</f>
        <v>2</v>
      </c>
      <c r="W97" s="235"/>
      <c r="X97" s="235"/>
      <c r="Y97" s="235"/>
    </row>
    <row r="98" spans="1:25" s="72" customFormat="1" x14ac:dyDescent="0.25">
      <c r="A98" s="328" t="s">
        <v>383</v>
      </c>
      <c r="B98" s="387" t="s">
        <v>497</v>
      </c>
      <c r="C98" s="65" t="s">
        <v>428</v>
      </c>
      <c r="D98" s="65" t="s">
        <v>430</v>
      </c>
      <c r="E98" s="458"/>
      <c r="F98" s="66" t="s">
        <v>91</v>
      </c>
      <c r="G98" s="67" t="s">
        <v>92</v>
      </c>
      <c r="H98" s="68" t="s">
        <v>27</v>
      </c>
      <c r="I98" s="69">
        <v>3.647891986062729E-2</v>
      </c>
      <c r="J98" s="458"/>
      <c r="K98" s="458"/>
      <c r="L98" s="401"/>
      <c r="M98" s="70"/>
      <c r="N98" s="23">
        <f>IF(ISNA(VLOOKUP($C98,WOTS_Det!$C$17:$H$97,6,FALSE)),0,VLOOKUP($C98,WOTS_Det!$C$17:$H$97,6,FALSE))</f>
        <v>0</v>
      </c>
      <c r="O98" s="23">
        <f>IF(ISNA(VLOOKUP($C98,BDL_Det!$C$17:$H$107,6,FALSE)),0,VLOOKUP($C98,BDL_Det!$C$17:$H$107,6,FALSE))</f>
        <v>0</v>
      </c>
      <c r="P98" s="23">
        <f>IF(ISNA(VLOOKUP($C98,ELM_Det!$C$17:$H$101,6,FALSE)),0,VLOOKUP($C98,ELM_Det!$C$17:$H$101,6,FALSE))</f>
        <v>0</v>
      </c>
      <c r="Q98" s="23">
        <f>IF(ISNA(VLOOKUP($C98,RWN_Det!$C$17:$H$98,6,FALSE)),0,VLOOKUP($C98,RWN_Det!$C$17:$H$98,6,FALSE))</f>
        <v>0</v>
      </c>
      <c r="R98" s="23">
        <f>IF(ISNA(VLOOKUP($C98,KMS_Det!$C$17:$H$95,6,FALSE)),0,VLOOKUP($C98,KMS_Det!$C$17:$H$95,6,FALSE))</f>
        <v>0</v>
      </c>
      <c r="S98" s="23">
        <f>IF(ISNA(VLOOKUP($C98,WGI_Det!$C$17:$H$77,6,FALSE)),0,VLOOKUP($C98,WGI_Det!$C$17:$H$77,6,FALSE))</f>
        <v>0</v>
      </c>
      <c r="T98" s="23">
        <f>IF(ISNA(VLOOKUP($C98,BGE_Det!$C$17:$H$91,6,FALSE)),0,VLOOKUP($C98,BGE_Det!$C$17:$H$91,6,FALSE))</f>
        <v>0</v>
      </c>
      <c r="U98" s="23">
        <f>IF(ISNA(VLOOKUP($C98,LDL_Det!$C$17:$H$73,6,FALSE)),0,VLOOKUP($C98,LDL_Det!$C$17:$H$73,6,FALSE))</f>
        <v>940</v>
      </c>
      <c r="W98" s="235"/>
      <c r="X98" s="235"/>
      <c r="Y98" s="235"/>
    </row>
    <row r="99" spans="1:25" s="72" customFormat="1" x14ac:dyDescent="0.25">
      <c r="A99" s="328" t="s">
        <v>383</v>
      </c>
      <c r="C99" s="65" t="s">
        <v>374</v>
      </c>
      <c r="D99" s="65" t="s">
        <v>388</v>
      </c>
      <c r="E99" s="458"/>
      <c r="F99" s="66" t="s">
        <v>91</v>
      </c>
      <c r="G99" s="67" t="s">
        <v>92</v>
      </c>
      <c r="H99" s="68" t="s">
        <v>27</v>
      </c>
      <c r="I99" s="69">
        <v>15.42</v>
      </c>
      <c r="J99" s="458"/>
      <c r="K99" s="458"/>
      <c r="L99" s="289"/>
      <c r="M99" s="70"/>
      <c r="N99" s="23">
        <f>IF(ISNA(VLOOKUP($C99,WOTS_Det!$C$17:$H$97,6,FALSE)),0,VLOOKUP($C99,WOTS_Det!$C$17:$H$97,6,FALSE))</f>
        <v>0</v>
      </c>
      <c r="O99" s="23">
        <f>IF(ISNA(VLOOKUP($C99,BDL_Det!$C$17:$H$107,6,FALSE)),0,VLOOKUP($C99,BDL_Det!$C$17:$H$107,6,FALSE))</f>
        <v>0</v>
      </c>
      <c r="P99" s="23">
        <f>IF(ISNA(VLOOKUP($C99,ELM_Det!$C$17:$H$101,6,FALSE)),0,VLOOKUP($C99,ELM_Det!$C$17:$H$101,6,FALSE))</f>
        <v>0</v>
      </c>
      <c r="Q99" s="23">
        <f>IF(ISNA(VLOOKUP($C99,RWN_Det!$C$17:$H$98,6,FALSE)),0,VLOOKUP($C99,RWN_Det!$C$17:$H$98,6,FALSE))</f>
        <v>0</v>
      </c>
      <c r="R99" s="23">
        <f>IF(ISNA(VLOOKUP($C99,KMS_Det!$C$17:$H$95,6,FALSE)),0,VLOOKUP($C99,KMS_Det!$C$17:$H$95,6,FALSE))</f>
        <v>0</v>
      </c>
      <c r="S99" s="23">
        <f>IF(ISNA(VLOOKUP($C99,WGI_Det!$C$17:$H$77,6,FALSE)),0,VLOOKUP($C99,WGI_Det!$C$17:$H$77,6,FALSE))</f>
        <v>0</v>
      </c>
      <c r="T99" s="23">
        <f>IF(ISNA(VLOOKUP($C99,BGE_Det!$C$17:$H$91,6,FALSE)),0,VLOOKUP($C99,BGE_Det!$C$17:$H$91,6,FALSE))</f>
        <v>0</v>
      </c>
      <c r="U99" s="23">
        <f>IF(ISNA(VLOOKUP($C99,LDL_Det!$C$17:$H$73,6,FALSE)),0,VLOOKUP($C99,LDL_Det!$C$17:$H$73,6,FALSE))</f>
        <v>0</v>
      </c>
      <c r="W99" s="235"/>
      <c r="X99" s="235"/>
      <c r="Y99" s="235"/>
    </row>
    <row r="100" spans="1:25" ht="30.6" customHeight="1" x14ac:dyDescent="0.25">
      <c r="B100" s="56" t="s">
        <v>186</v>
      </c>
      <c r="E100" s="75"/>
      <c r="F100" s="76"/>
      <c r="I100" s="57"/>
      <c r="J100" s="57"/>
      <c r="K100" s="57"/>
      <c r="L100" s="57"/>
      <c r="M100" s="57"/>
      <c r="N100" s="57"/>
    </row>
    <row r="101" spans="1:25" ht="14.45" customHeight="1" x14ac:dyDescent="0.25">
      <c r="C101" s="13"/>
      <c r="D101" s="13"/>
      <c r="E101" s="62" t="s">
        <v>115</v>
      </c>
      <c r="F101" s="13"/>
      <c r="G101" s="12"/>
      <c r="H101" s="12"/>
      <c r="I101" s="13"/>
      <c r="J101" s="13"/>
      <c r="K101" s="13"/>
      <c r="L101" s="57"/>
      <c r="M101" s="475"/>
      <c r="N101" s="475"/>
      <c r="O101" s="475"/>
    </row>
    <row r="102" spans="1:25" x14ac:dyDescent="0.25">
      <c r="B102" s="18"/>
      <c r="C102" s="63" t="s">
        <v>117</v>
      </c>
      <c r="D102" s="63" t="s">
        <v>118</v>
      </c>
      <c r="E102" s="64" t="s">
        <v>119</v>
      </c>
      <c r="F102" s="63" t="s">
        <v>120</v>
      </c>
      <c r="G102" s="63" t="s">
        <v>5</v>
      </c>
      <c r="H102" s="63" t="s">
        <v>20</v>
      </c>
      <c r="I102" s="63" t="s">
        <v>21</v>
      </c>
      <c r="J102" s="63" t="s">
        <v>121</v>
      </c>
      <c r="K102" s="63" t="s">
        <v>25</v>
      </c>
      <c r="L102" s="57"/>
      <c r="M102" s="2"/>
      <c r="N102" s="2"/>
      <c r="O102" s="2"/>
    </row>
    <row r="103" spans="1:25" x14ac:dyDescent="0.25">
      <c r="C103" s="65" t="s">
        <v>187</v>
      </c>
      <c r="D103" s="65" t="s">
        <v>188</v>
      </c>
      <c r="E103" s="458"/>
      <c r="F103" s="66" t="s">
        <v>91</v>
      </c>
      <c r="G103" s="67" t="s">
        <v>2</v>
      </c>
      <c r="H103" s="68" t="s">
        <v>27</v>
      </c>
      <c r="I103" s="69">
        <f>'Unit_Rates - $2015'!I50*1/Escalators!$G$12</f>
        <v>48.982274401473298</v>
      </c>
      <c r="J103" s="458"/>
      <c r="K103" s="458"/>
      <c r="L103" s="2"/>
      <c r="M103" s="70"/>
      <c r="N103" s="23">
        <f>IF(ISNA(VLOOKUP($C103,WOTS_Det!$C$17:$H$97,6,FALSE)),0,VLOOKUP($C103,WOTS_Det!$C$17:$H$97,6,FALSE))</f>
        <v>0</v>
      </c>
      <c r="O103" s="23">
        <f>IF(ISNA(VLOOKUP($C103,BDL_Det!$C$17:$H$107,6,FALSE)),0,VLOOKUP($C103,BDL_Det!$C$17:$H$107,6,FALSE))</f>
        <v>1</v>
      </c>
      <c r="P103" s="23">
        <f>IF(ISNA(VLOOKUP($C103,ELM_Det!$C$17:$H$101,6,FALSE)),0,VLOOKUP($C103,ELM_Det!$C$17:$H$101,6,FALSE))</f>
        <v>1</v>
      </c>
      <c r="Q103" s="23">
        <f>IF(ISNA(VLOOKUP($C103,RWN_Det!$C$17:$H$98,6,FALSE)),0,VLOOKUP($C103,RWN_Det!$C$17:$H$98,6,FALSE))</f>
        <v>0</v>
      </c>
      <c r="R103" s="23">
        <f>IF(ISNA(VLOOKUP($C103,KMS_Det!$C$17:$H$95,6,FALSE)),0,VLOOKUP($C103,KMS_Det!$C$17:$H$95,6,FALSE))</f>
        <v>0</v>
      </c>
      <c r="S103" s="23">
        <f>IF(ISNA(VLOOKUP($C103,WGI_Det!$C$17:$H$77,6,FALSE)),0,VLOOKUP($C103,WGI_Det!$C$17:$H$77,6,FALSE))</f>
        <v>0</v>
      </c>
      <c r="T103" s="23">
        <f>IF(ISNA(VLOOKUP($C103,BGE_Det!$C$17:$H$91,6,FALSE)),0,VLOOKUP($C103,BGE_Det!$C$17:$H$91,6,FALSE))</f>
        <v>0</v>
      </c>
      <c r="U103" s="23">
        <f>IF(ISNA(VLOOKUP($C103,LDL_Det!$C$17:$H$73,6,FALSE)),0,VLOOKUP($C103,LDL_Det!$C$17:$H$73,6,FALSE))</f>
        <v>0</v>
      </c>
    </row>
    <row r="104" spans="1:25" x14ac:dyDescent="0.25">
      <c r="C104" s="65" t="s">
        <v>189</v>
      </c>
      <c r="D104" s="65" t="s">
        <v>188</v>
      </c>
      <c r="E104" s="458"/>
      <c r="F104" s="66" t="s">
        <v>91</v>
      </c>
      <c r="G104" s="67" t="s">
        <v>2</v>
      </c>
      <c r="H104" s="68" t="s">
        <v>27</v>
      </c>
      <c r="I104" s="69">
        <f>'Unit_Rates - $2015'!I51*1/Escalators!$G$12</f>
        <v>61.81911602209945</v>
      </c>
      <c r="J104" s="458"/>
      <c r="K104" s="458"/>
      <c r="L104" s="2"/>
      <c r="M104" s="70"/>
      <c r="N104" s="23">
        <f>IF(ISNA(VLOOKUP($C104,WOTS_Det!$C$17:$H$97,6,FALSE)),0,VLOOKUP($C104,WOTS_Det!$C$17:$H$97,6,FALSE))</f>
        <v>0</v>
      </c>
      <c r="O104" s="23">
        <f>IF(ISNA(VLOOKUP($C104,BDL_Det!$C$17:$H$107,6,FALSE)),0,VLOOKUP($C104,BDL_Det!$C$17:$H$107,6,FALSE))</f>
        <v>0</v>
      </c>
      <c r="P104" s="23">
        <f>IF(ISNA(VLOOKUP($C104,ELM_Det!$C$17:$H$101,6,FALSE)),0,VLOOKUP($C104,ELM_Det!$C$17:$H$101,6,FALSE))</f>
        <v>0</v>
      </c>
      <c r="Q104" s="23">
        <f>IF(ISNA(VLOOKUP($C104,RWN_Det!$C$17:$H$98,6,FALSE)),0,VLOOKUP($C104,RWN_Det!$C$17:$H$98,6,FALSE))</f>
        <v>1</v>
      </c>
      <c r="R104" s="23">
        <f>IF(ISNA(VLOOKUP($C104,KMS_Det!$C$17:$H$95,6,FALSE)),0,VLOOKUP($C104,KMS_Det!$C$17:$H$95,6,FALSE))</f>
        <v>0</v>
      </c>
      <c r="S104" s="23">
        <f>IF(ISNA(VLOOKUP($C104,WGI_Det!$C$17:$H$77,6,FALSE)),0,VLOOKUP($C104,WGI_Det!$C$17:$H$77,6,FALSE))</f>
        <v>1</v>
      </c>
      <c r="T104" s="23">
        <f>IF(ISNA(VLOOKUP($C104,BGE_Det!$C$17:$H$91,6,FALSE)),0,VLOOKUP($C104,BGE_Det!$C$17:$H$91,6,FALSE))</f>
        <v>0</v>
      </c>
      <c r="U104" s="23">
        <f>IF(ISNA(VLOOKUP($C104,LDL_Det!$C$17:$H$73,6,FALSE)),0,VLOOKUP($C104,LDL_Det!$C$17:$H$73,6,FALSE))</f>
        <v>0</v>
      </c>
    </row>
    <row r="105" spans="1:25" x14ac:dyDescent="0.25">
      <c r="C105" s="65" t="s">
        <v>190</v>
      </c>
      <c r="D105" s="65" t="s">
        <v>191</v>
      </c>
      <c r="E105" s="458"/>
      <c r="F105" s="66" t="s">
        <v>91</v>
      </c>
      <c r="G105" s="67" t="s">
        <v>2</v>
      </c>
      <c r="H105" s="68" t="s">
        <v>27</v>
      </c>
      <c r="I105" s="69">
        <f>'Unit_Rates - $2015'!I52*1/Escalators!$G$12</f>
        <v>6.2430939226519344</v>
      </c>
      <c r="J105" s="458"/>
      <c r="K105" s="458"/>
      <c r="L105" s="2"/>
      <c r="M105" s="70"/>
      <c r="N105" s="23">
        <f>IF(ISNA(VLOOKUP($C105,WOTS_Det!$C$17:$H$97,6,FALSE)),0,VLOOKUP($C105,WOTS_Det!$C$17:$H$97,6,FALSE))</f>
        <v>0</v>
      </c>
      <c r="O105" s="23">
        <f>IF(ISNA(VLOOKUP($C105,BDL_Det!$C$17:$H$107,6,FALSE)),0,VLOOKUP($C105,BDL_Det!$C$17:$H$107,6,FALSE))</f>
        <v>0</v>
      </c>
      <c r="P105" s="23">
        <f>IF(ISNA(VLOOKUP($C105,ELM_Det!$C$17:$H$101,6,FALSE)),0,VLOOKUP($C105,ELM_Det!$C$17:$H$101,6,FALSE))</f>
        <v>0</v>
      </c>
      <c r="Q105" s="23">
        <f>IF(ISNA(VLOOKUP($C105,RWN_Det!$C$17:$H$98,6,FALSE)),0,VLOOKUP($C105,RWN_Det!$C$17:$H$98,6,FALSE))</f>
        <v>0</v>
      </c>
      <c r="R105" s="23">
        <f>IF(ISNA(VLOOKUP($C105,KMS_Det!$C$17:$H$95,6,FALSE)),0,VLOOKUP($C105,KMS_Det!$C$17:$H$95,6,FALSE))</f>
        <v>0</v>
      </c>
      <c r="S105" s="23">
        <f>IF(ISNA(VLOOKUP($C105,WGI_Det!$C$17:$H$77,6,FALSE)),0,VLOOKUP($C105,WGI_Det!$C$17:$H$77,6,FALSE))</f>
        <v>1</v>
      </c>
      <c r="T105" s="23">
        <f>IF(ISNA(VLOOKUP($C105,BGE_Det!$C$17:$H$91,6,FALSE)),0,VLOOKUP($C105,BGE_Det!$C$17:$H$91,6,FALSE))</f>
        <v>0</v>
      </c>
      <c r="U105" s="23">
        <f>IF(ISNA(VLOOKUP($C105,LDL_Det!$C$17:$H$73,6,FALSE)),0,VLOOKUP($C105,LDL_Det!$C$17:$H$73,6,FALSE))</f>
        <v>0</v>
      </c>
    </row>
    <row r="106" spans="1:25" x14ac:dyDescent="0.25">
      <c r="C106" s="65" t="s">
        <v>192</v>
      </c>
      <c r="D106" s="65" t="s">
        <v>192</v>
      </c>
      <c r="E106" s="458"/>
      <c r="F106" s="66" t="s">
        <v>91</v>
      </c>
      <c r="G106" s="67" t="s">
        <v>2</v>
      </c>
      <c r="H106" s="68" t="s">
        <v>27</v>
      </c>
      <c r="I106" s="69">
        <f>'Unit_Rates - $2015'!I53*1/Escalators!$G$12</f>
        <v>8.6955893186003674</v>
      </c>
      <c r="J106" s="458"/>
      <c r="K106" s="458"/>
      <c r="L106" s="2"/>
      <c r="M106" s="70"/>
      <c r="N106" s="23">
        <f>IF(ISNA(VLOOKUP($C106,WOTS_Det!$C$17:$H$97,6,FALSE)),0,VLOOKUP($C106,WOTS_Det!$C$17:$H$97,6,FALSE))</f>
        <v>0</v>
      </c>
      <c r="O106" s="23">
        <f>IF(ISNA(VLOOKUP($C106,BDL_Det!$C$17:$H$107,6,FALSE)),0,VLOOKUP($C106,BDL_Det!$C$17:$H$107,6,FALSE))</f>
        <v>0</v>
      </c>
      <c r="P106" s="23">
        <f>IF(ISNA(VLOOKUP($C106,ELM_Det!$C$17:$H$101,6,FALSE)),0,VLOOKUP($C106,ELM_Det!$C$17:$H$101,6,FALSE))</f>
        <v>0</v>
      </c>
      <c r="Q106" s="23">
        <f>IF(ISNA(VLOOKUP($C106,RWN_Det!$C$17:$H$98,6,FALSE)),0,VLOOKUP($C106,RWN_Det!$C$17:$H$98,6,FALSE))</f>
        <v>0</v>
      </c>
      <c r="R106" s="23">
        <f>IF(ISNA(VLOOKUP($C106,KMS_Det!$C$17:$H$95,6,FALSE)),0,VLOOKUP($C106,KMS_Det!$C$17:$H$95,6,FALSE))</f>
        <v>0</v>
      </c>
      <c r="S106" s="23">
        <f>IF(ISNA(VLOOKUP($C106,WGI_Det!$C$17:$H$77,6,FALSE)),0,VLOOKUP($C106,WGI_Det!$C$17:$H$77,6,FALSE))</f>
        <v>0</v>
      </c>
      <c r="T106" s="23">
        <f>IF(ISNA(VLOOKUP($C106,BGE_Det!$C$17:$H$91,6,FALSE)),0,VLOOKUP($C106,BGE_Det!$C$17:$H$91,6,FALSE))</f>
        <v>0</v>
      </c>
      <c r="U106" s="23">
        <f>IF(ISNA(VLOOKUP($C106,LDL_Det!$C$17:$H$73,6,FALSE)),0,VLOOKUP($C106,LDL_Det!$C$17:$H$73,6,FALSE))</f>
        <v>0</v>
      </c>
    </row>
    <row r="107" spans="1:25" x14ac:dyDescent="0.25">
      <c r="C107" s="65" t="s">
        <v>193</v>
      </c>
      <c r="D107" s="65" t="s">
        <v>194</v>
      </c>
      <c r="E107" s="458"/>
      <c r="F107" s="66" t="s">
        <v>91</v>
      </c>
      <c r="G107" s="67" t="s">
        <v>2</v>
      </c>
      <c r="H107" s="68" t="s">
        <v>27</v>
      </c>
      <c r="I107" s="69">
        <f>'Unit_Rates - $2015'!I54*1/Escalators!$G$12</f>
        <v>98.007730202578273</v>
      </c>
      <c r="J107" s="458"/>
      <c r="K107" s="458"/>
      <c r="L107" s="2"/>
      <c r="M107" s="70"/>
      <c r="N107" s="23">
        <f>IF(ISNA(VLOOKUP($C107,WOTS_Det!$C$17:$H$97,6,FALSE)),0,VLOOKUP($C107,WOTS_Det!$C$17:$H$97,6,FALSE))</f>
        <v>0</v>
      </c>
      <c r="O107" s="23">
        <f>IF(ISNA(VLOOKUP($C107,BDL_Det!$C$17:$H$107,6,FALSE)),0,VLOOKUP($C107,BDL_Det!$C$17:$H$107,6,FALSE))</f>
        <v>0</v>
      </c>
      <c r="P107" s="23">
        <f>IF(ISNA(VLOOKUP($C107,ELM_Det!$C$17:$H$101,6,FALSE)),0,VLOOKUP($C107,ELM_Det!$C$17:$H$101,6,FALSE))</f>
        <v>0</v>
      </c>
      <c r="Q107" s="23">
        <f>IF(ISNA(VLOOKUP($C107,RWN_Det!$C$17:$H$98,6,FALSE)),0,VLOOKUP($C107,RWN_Det!$C$17:$H$98,6,FALSE))</f>
        <v>0</v>
      </c>
      <c r="R107" s="23">
        <f>IF(ISNA(VLOOKUP($C107,KMS_Det!$C$17:$H$95,6,FALSE)),0,VLOOKUP($C107,KMS_Det!$C$17:$H$95,6,FALSE))</f>
        <v>0</v>
      </c>
      <c r="S107" s="23">
        <f>IF(ISNA(VLOOKUP($C107,WGI_Det!$C$17:$H$77,6,FALSE)),0,VLOOKUP($C107,WGI_Det!$C$17:$H$77,6,FALSE))</f>
        <v>0</v>
      </c>
      <c r="T107" s="23">
        <f>IF(ISNA(VLOOKUP($C107,BGE_Det!$C$17:$H$91,6,FALSE)),0,VLOOKUP($C107,BGE_Det!$C$17:$H$91,6,FALSE))</f>
        <v>0</v>
      </c>
      <c r="U107" s="23">
        <f>IF(ISNA(VLOOKUP($C107,LDL_Det!$C$17:$H$73,6,FALSE)),0,VLOOKUP($C107,LDL_Det!$C$17:$H$73,6,FALSE))</f>
        <v>0</v>
      </c>
    </row>
    <row r="108" spans="1:25" x14ac:dyDescent="0.25">
      <c r="C108" s="65" t="s">
        <v>195</v>
      </c>
      <c r="D108" s="65" t="s">
        <v>196</v>
      </c>
      <c r="E108" s="458"/>
      <c r="F108" s="66" t="s">
        <v>91</v>
      </c>
      <c r="G108" s="67" t="s">
        <v>2</v>
      </c>
      <c r="H108" s="68" t="s">
        <v>27</v>
      </c>
      <c r="I108" s="69">
        <f>'Unit_Rates - $2015'!I55*1/Escalators!$G$12</f>
        <v>197.65531307550646</v>
      </c>
      <c r="J108" s="458"/>
      <c r="K108" s="458"/>
      <c r="L108" s="2"/>
      <c r="M108" s="70"/>
      <c r="N108" s="23">
        <f>IF(ISNA(VLOOKUP($C108,WOTS_Det!$C$17:$H$97,6,FALSE)),0,VLOOKUP($C108,WOTS_Det!$C$17:$H$97,6,FALSE))</f>
        <v>0</v>
      </c>
      <c r="O108" s="23">
        <f>IF(ISNA(VLOOKUP($C108,BDL_Det!$C$17:$H$107,6,FALSE)),0,VLOOKUP($C108,BDL_Det!$C$17:$H$107,6,FALSE))</f>
        <v>0</v>
      </c>
      <c r="P108" s="23">
        <f>IF(ISNA(VLOOKUP($C108,ELM_Det!$C$17:$H$101,6,FALSE)),0,VLOOKUP($C108,ELM_Det!$C$17:$H$101,6,FALSE))</f>
        <v>0</v>
      </c>
      <c r="Q108" s="23">
        <f>IF(ISNA(VLOOKUP($C108,RWN_Det!$C$17:$H$98,6,FALSE)),0,VLOOKUP($C108,RWN_Det!$C$17:$H$98,6,FALSE))</f>
        <v>0</v>
      </c>
      <c r="R108" s="23">
        <f>IF(ISNA(VLOOKUP($C108,KMS_Det!$C$17:$H$95,6,FALSE)),0,VLOOKUP($C108,KMS_Det!$C$17:$H$95,6,FALSE))</f>
        <v>0</v>
      </c>
      <c r="S108" s="23">
        <f>IF(ISNA(VLOOKUP($C108,WGI_Det!$C$17:$H$77,6,FALSE)),0,VLOOKUP($C108,WGI_Det!$C$17:$H$77,6,FALSE))</f>
        <v>0</v>
      </c>
      <c r="T108" s="23">
        <f>IF(ISNA(VLOOKUP($C108,BGE_Det!$C$17:$H$91,6,FALSE)),0,VLOOKUP($C108,BGE_Det!$C$17:$H$91,6,FALSE))</f>
        <v>0</v>
      </c>
      <c r="U108" s="23">
        <f>IF(ISNA(VLOOKUP($C108,LDL_Det!$C$17:$H$73,6,FALSE)),0,VLOOKUP($C108,LDL_Det!$C$17:$H$73,6,FALSE))</f>
        <v>0</v>
      </c>
    </row>
    <row r="109" spans="1:25" x14ac:dyDescent="0.25">
      <c r="C109" s="65" t="s">
        <v>197</v>
      </c>
      <c r="D109" s="65" t="s">
        <v>198</v>
      </c>
      <c r="E109" s="458"/>
      <c r="F109" s="66" t="s">
        <v>91</v>
      </c>
      <c r="G109" s="67" t="s">
        <v>2</v>
      </c>
      <c r="H109" s="68" t="s">
        <v>27</v>
      </c>
      <c r="I109" s="69">
        <f>'Unit_Rates - $2015'!I56*1/Escalators!$G$12</f>
        <v>164.02376611418049</v>
      </c>
      <c r="J109" s="458"/>
      <c r="K109" s="458"/>
      <c r="L109" s="2"/>
      <c r="M109" s="70"/>
      <c r="N109" s="23">
        <f>IF(ISNA(VLOOKUP($C109,WOTS_Det!$C$17:$H$97,6,FALSE)),0,VLOOKUP($C109,WOTS_Det!$C$17:$H$97,6,FALSE))</f>
        <v>0</v>
      </c>
      <c r="O109" s="23">
        <f>IF(ISNA(VLOOKUP($C109,BDL_Det!$C$17:$H$107,6,FALSE)),0,VLOOKUP($C109,BDL_Det!$C$17:$H$107,6,FALSE))</f>
        <v>0</v>
      </c>
      <c r="P109" s="23">
        <f>IF(ISNA(VLOOKUP($C109,ELM_Det!$C$17:$H$101,6,FALSE)),0,VLOOKUP($C109,ELM_Det!$C$17:$H$101,6,FALSE))</f>
        <v>0</v>
      </c>
      <c r="Q109" s="23">
        <f>IF(ISNA(VLOOKUP($C109,RWN_Det!$C$17:$H$98,6,FALSE)),0,VLOOKUP($C109,RWN_Det!$C$17:$H$98,6,FALSE))</f>
        <v>0</v>
      </c>
      <c r="R109" s="23">
        <f>IF(ISNA(VLOOKUP($C109,KMS_Det!$C$17:$H$95,6,FALSE)),0,VLOOKUP($C109,KMS_Det!$C$17:$H$95,6,FALSE))</f>
        <v>0</v>
      </c>
      <c r="S109" s="23">
        <f>IF(ISNA(VLOOKUP($C109,WGI_Det!$C$17:$H$77,6,FALSE)),0,VLOOKUP($C109,WGI_Det!$C$17:$H$77,6,FALSE))</f>
        <v>0</v>
      </c>
      <c r="T109" s="23">
        <f>IF(ISNA(VLOOKUP($C109,BGE_Det!$C$17:$H$91,6,FALSE)),0,VLOOKUP($C109,BGE_Det!$C$17:$H$91,6,FALSE))</f>
        <v>0</v>
      </c>
      <c r="U109" s="23">
        <f>IF(ISNA(VLOOKUP($C109,LDL_Det!$C$17:$H$73,6,FALSE)),0,VLOOKUP($C109,LDL_Det!$C$17:$H$73,6,FALSE))</f>
        <v>0</v>
      </c>
    </row>
    <row r="110" spans="1:25" x14ac:dyDescent="0.25">
      <c r="B110" s="23"/>
      <c r="C110" s="65" t="s">
        <v>199</v>
      </c>
      <c r="D110" s="65" t="s">
        <v>200</v>
      </c>
      <c r="E110" s="458"/>
      <c r="F110" s="66" t="s">
        <v>91</v>
      </c>
      <c r="G110" s="67" t="s">
        <v>2</v>
      </c>
      <c r="H110" s="68" t="s">
        <v>27</v>
      </c>
      <c r="I110" s="69">
        <f>'Unit_Rates - $2015'!I57*1/Escalators!$G$12</f>
        <v>41.9660773480663</v>
      </c>
      <c r="J110" s="458"/>
      <c r="K110" s="458"/>
      <c r="L110" s="299"/>
      <c r="M110" s="70"/>
      <c r="N110" s="23">
        <f>IF(ISNA(VLOOKUP($C110,WOTS_Det!$C$17:$H$97,6,FALSE)),0,VLOOKUP($C110,WOTS_Det!$C$17:$H$97,6,FALSE))</f>
        <v>0</v>
      </c>
      <c r="O110" s="23">
        <f>IF(ISNA(VLOOKUP($C110,BDL_Det!$C$17:$H$107,6,FALSE)),0,VLOOKUP($C110,BDL_Det!$C$17:$H$107,6,FALSE))</f>
        <v>0</v>
      </c>
      <c r="P110" s="23">
        <f>IF(ISNA(VLOOKUP($C110,ELM_Det!$C$17:$H$101,6,FALSE)),0,VLOOKUP($C110,ELM_Det!$C$17:$H$101,6,FALSE))</f>
        <v>0</v>
      </c>
      <c r="Q110" s="23">
        <f>IF(ISNA(VLOOKUP($C110,RWN_Det!$C$17:$H$98,6,FALSE)),0,VLOOKUP($C110,RWN_Det!$C$17:$H$98,6,FALSE))</f>
        <v>0</v>
      </c>
      <c r="R110" s="23">
        <f>IF(ISNA(VLOOKUP($C110,KMS_Det!$C$17:$H$95,6,FALSE)),0,VLOOKUP($C110,KMS_Det!$C$17:$H$95,6,FALSE))</f>
        <v>0</v>
      </c>
      <c r="S110" s="23">
        <f>IF(ISNA(VLOOKUP($C110,WGI_Det!$C$17:$H$77,6,FALSE)),0,VLOOKUP($C110,WGI_Det!$C$17:$H$77,6,FALSE))</f>
        <v>0</v>
      </c>
      <c r="T110" s="23">
        <f>IF(ISNA(VLOOKUP($C110,BGE_Det!$C$17:$H$91,6,FALSE)),0,VLOOKUP($C110,BGE_Det!$C$17:$H$91,6,FALSE))</f>
        <v>0</v>
      </c>
      <c r="U110" s="23">
        <f>IF(ISNA(VLOOKUP($C110,LDL_Det!$C$17:$H$73,6,FALSE)),0,VLOOKUP($C110,LDL_Det!$C$17:$H$73,6,FALSE))</f>
        <v>0</v>
      </c>
    </row>
    <row r="111" spans="1:25" x14ac:dyDescent="0.25">
      <c r="B111" s="23"/>
      <c r="C111" s="65" t="s">
        <v>201</v>
      </c>
      <c r="D111" s="65" t="s">
        <v>202</v>
      </c>
      <c r="E111" s="458"/>
      <c r="F111" s="66" t="s">
        <v>91</v>
      </c>
      <c r="G111" s="67" t="s">
        <v>2</v>
      </c>
      <c r="H111" s="68" t="s">
        <v>27</v>
      </c>
      <c r="I111" s="69">
        <f>'Unit_Rates - $2015'!I58*1/Escalators!$G$12</f>
        <v>33.683572744014732</v>
      </c>
      <c r="J111" s="458"/>
      <c r="K111" s="458"/>
      <c r="L111" s="299"/>
      <c r="M111" s="70"/>
      <c r="N111" s="23">
        <f>IF(ISNA(VLOOKUP($C111,WOTS_Det!$C$17:$H$97,6,FALSE)),0,VLOOKUP($C111,WOTS_Det!$C$17:$H$97,6,FALSE))</f>
        <v>0</v>
      </c>
      <c r="O111" s="23">
        <f>IF(ISNA(VLOOKUP($C111,BDL_Det!$C$17:$H$107,6,FALSE)),0,VLOOKUP($C111,BDL_Det!$C$17:$H$107,6,FALSE))</f>
        <v>0</v>
      </c>
      <c r="P111" s="23">
        <f>IF(ISNA(VLOOKUP($C111,ELM_Det!$C$17:$H$101,6,FALSE)),0,VLOOKUP($C111,ELM_Det!$C$17:$H$101,6,FALSE))</f>
        <v>0</v>
      </c>
      <c r="Q111" s="23">
        <f>IF(ISNA(VLOOKUP($C111,RWN_Det!$C$17:$H$98,6,FALSE)),0,VLOOKUP($C111,RWN_Det!$C$17:$H$98,6,FALSE))</f>
        <v>1</v>
      </c>
      <c r="R111" s="23">
        <f>IF(ISNA(VLOOKUP($C111,KMS_Det!$C$17:$H$95,6,FALSE)),0,VLOOKUP($C111,KMS_Det!$C$17:$H$95,6,FALSE))</f>
        <v>0</v>
      </c>
      <c r="S111" s="23">
        <f>IF(ISNA(VLOOKUP($C111,WGI_Det!$C$17:$H$77,6,FALSE)),0,VLOOKUP($C111,WGI_Det!$C$17:$H$77,6,FALSE))</f>
        <v>0</v>
      </c>
      <c r="T111" s="23">
        <f>IF(ISNA(VLOOKUP($C111,BGE_Det!$C$17:$H$91,6,FALSE)),0,VLOOKUP($C111,BGE_Det!$C$17:$H$91,6,FALSE))</f>
        <v>0</v>
      </c>
      <c r="U111" s="23">
        <f>IF(ISNA(VLOOKUP($C111,LDL_Det!$C$17:$H$73,6,FALSE)),0,VLOOKUP($C111,LDL_Det!$C$17:$H$73,6,FALSE))</f>
        <v>0</v>
      </c>
    </row>
    <row r="112" spans="1:25" x14ac:dyDescent="0.25">
      <c r="C112" s="65" t="s">
        <v>203</v>
      </c>
      <c r="D112" s="65" t="s">
        <v>204</v>
      </c>
      <c r="E112" s="458"/>
      <c r="F112" s="66" t="s">
        <v>91</v>
      </c>
      <c r="G112" s="67" t="s">
        <v>2</v>
      </c>
      <c r="H112" s="68" t="s">
        <v>27</v>
      </c>
      <c r="I112" s="69">
        <f>'Unit_Rates - $2015'!I59*1/Escalators!$G$12</f>
        <v>149.33974883720927</v>
      </c>
      <c r="J112" s="458"/>
      <c r="K112" s="458"/>
      <c r="L112" s="2"/>
      <c r="M112" s="70"/>
      <c r="N112" s="23">
        <f>IF(ISNA(VLOOKUP($C112,WOTS_Det!$C$17:$H$97,6,FALSE)),0,VLOOKUP($C112,WOTS_Det!$C$17:$H$97,6,FALSE))</f>
        <v>0</v>
      </c>
      <c r="O112" s="23">
        <f>IF(ISNA(VLOOKUP($C112,BDL_Det!$C$17:$H$107,6,FALSE)),0,VLOOKUP($C112,BDL_Det!$C$17:$H$107,6,FALSE))</f>
        <v>0</v>
      </c>
      <c r="P112" s="23">
        <f>IF(ISNA(VLOOKUP($C112,ELM_Det!$C$17:$H$101,6,FALSE)),0,VLOOKUP($C112,ELM_Det!$C$17:$H$101,6,FALSE))</f>
        <v>0</v>
      </c>
      <c r="Q112" s="23">
        <f>IF(ISNA(VLOOKUP($C112,RWN_Det!$C$17:$H$98,6,FALSE)),0,VLOOKUP($C112,RWN_Det!$C$17:$H$98,6,FALSE))</f>
        <v>0</v>
      </c>
      <c r="R112" s="23">
        <f>IF(ISNA(VLOOKUP($C112,KMS_Det!$C$17:$H$95,6,FALSE)),0,VLOOKUP($C112,KMS_Det!$C$17:$H$95,6,FALSE))</f>
        <v>0</v>
      </c>
      <c r="S112" s="23">
        <f>IF(ISNA(VLOOKUP($C112,WGI_Det!$C$17:$H$77,6,FALSE)),0,VLOOKUP($C112,WGI_Det!$C$17:$H$77,6,FALSE))</f>
        <v>0</v>
      </c>
      <c r="T112" s="23">
        <f>IF(ISNA(VLOOKUP($C112,BGE_Det!$C$17:$H$91,6,FALSE)),0,VLOOKUP($C112,BGE_Det!$C$17:$H$91,6,FALSE))</f>
        <v>0</v>
      </c>
      <c r="U112" s="23">
        <f>IF(ISNA(VLOOKUP($C112,LDL_Det!$C$17:$H$73,6,FALSE)),0,VLOOKUP($C112,LDL_Det!$C$17:$H$73,6,FALSE))</f>
        <v>0</v>
      </c>
    </row>
    <row r="113" spans="2:22" x14ac:dyDescent="0.25">
      <c r="C113" s="65" t="s">
        <v>205</v>
      </c>
      <c r="D113" s="65" t="s">
        <v>206</v>
      </c>
      <c r="E113" s="458"/>
      <c r="F113" s="66" t="s">
        <v>91</v>
      </c>
      <c r="G113" s="67" t="s">
        <v>2</v>
      </c>
      <c r="H113" s="68" t="s">
        <v>27</v>
      </c>
      <c r="I113" s="69">
        <f>'Unit_Rates - $2015'!I60*1/Escalators!$G$12</f>
        <v>92.239631675874776</v>
      </c>
      <c r="J113" s="458"/>
      <c r="K113" s="458"/>
      <c r="L113" s="2"/>
      <c r="M113" s="70"/>
      <c r="N113" s="23">
        <f>IF(ISNA(VLOOKUP($C113,WOTS_Det!$C$17:$H$97,6,FALSE)),0,VLOOKUP($C113,WOTS_Det!$C$17:$H$97,6,FALSE))</f>
        <v>2</v>
      </c>
      <c r="O113" s="23">
        <f>IF(ISNA(VLOOKUP($C113,BDL_Det!$C$17:$H$107,6,FALSE)),0,VLOOKUP($C113,BDL_Det!$C$17:$H$107,6,FALSE))</f>
        <v>0</v>
      </c>
      <c r="P113" s="23">
        <f>IF(ISNA(VLOOKUP($C113,ELM_Det!$C$17:$H$101,6,FALSE)),0,VLOOKUP($C113,ELM_Det!$C$17:$H$101,6,FALSE))</f>
        <v>0</v>
      </c>
      <c r="Q113" s="23">
        <f>IF(ISNA(VLOOKUP($C113,RWN_Det!$C$17:$H$98,6,FALSE)),0,VLOOKUP($C113,RWN_Det!$C$17:$H$98,6,FALSE))</f>
        <v>0</v>
      </c>
      <c r="R113" s="23">
        <f>IF(ISNA(VLOOKUP($C113,KMS_Det!$C$17:$H$95,6,FALSE)),0,VLOOKUP($C113,KMS_Det!$C$17:$H$95,6,FALSE))</f>
        <v>0</v>
      </c>
      <c r="S113" s="23">
        <f>IF(ISNA(VLOOKUP($C113,WGI_Det!$C$17:$H$77,6,FALSE)),0,VLOOKUP($C113,WGI_Det!$C$17:$H$77,6,FALSE))</f>
        <v>0</v>
      </c>
      <c r="T113" s="23">
        <f>IF(ISNA(VLOOKUP($C113,BGE_Det!$C$17:$H$91,6,FALSE)),0,VLOOKUP($C113,BGE_Det!$C$17:$H$91,6,FALSE))</f>
        <v>1</v>
      </c>
      <c r="U113" s="23">
        <f>IF(ISNA(VLOOKUP($C113,LDL_Det!$C$17:$H$73,6,FALSE)),0,VLOOKUP($C113,LDL_Det!$C$17:$H$73,6,FALSE))</f>
        <v>0</v>
      </c>
    </row>
    <row r="114" spans="2:22" x14ac:dyDescent="0.25">
      <c r="E114" s="75"/>
      <c r="F114" s="76"/>
      <c r="I114" s="57"/>
      <c r="J114" s="57"/>
      <c r="K114" s="57"/>
      <c r="L114" s="57"/>
      <c r="M114" s="57"/>
      <c r="N114" s="57"/>
    </row>
    <row r="115" spans="2:22" x14ac:dyDescent="0.25">
      <c r="E115" s="77"/>
    </row>
    <row r="116" spans="2:22" x14ac:dyDescent="0.25">
      <c r="B116" s="3" t="s">
        <v>207</v>
      </c>
    </row>
    <row r="117" spans="2:22" ht="15" customHeight="1" x14ac:dyDescent="0.25">
      <c r="C117" s="13"/>
      <c r="D117" s="13"/>
      <c r="E117" s="62" t="s">
        <v>115</v>
      </c>
      <c r="F117" s="13"/>
      <c r="G117" s="12"/>
      <c r="H117" s="12"/>
      <c r="I117" s="13"/>
      <c r="J117" s="78"/>
      <c r="K117" s="470" t="s">
        <v>23</v>
      </c>
      <c r="L117" s="470" t="s">
        <v>24</v>
      </c>
      <c r="M117" s="79"/>
      <c r="N117" s="80"/>
      <c r="O117" s="81"/>
    </row>
    <row r="118" spans="2:22" x14ac:dyDescent="0.25">
      <c r="C118" s="63" t="s">
        <v>117</v>
      </c>
      <c r="D118" s="63" t="s">
        <v>118</v>
      </c>
      <c r="E118" s="64" t="s">
        <v>119</v>
      </c>
      <c r="F118" s="63" t="s">
        <v>120</v>
      </c>
      <c r="G118" s="63" t="s">
        <v>5</v>
      </c>
      <c r="H118" s="63" t="s">
        <v>20</v>
      </c>
      <c r="I118" s="63" t="s">
        <v>21</v>
      </c>
      <c r="J118" s="64" t="s">
        <v>72</v>
      </c>
      <c r="K118" s="470"/>
      <c r="L118" s="470"/>
      <c r="M118" s="82" t="s">
        <v>25</v>
      </c>
      <c r="N118" s="82"/>
      <c r="O118" s="2"/>
    </row>
    <row r="119" spans="2:22" ht="28.5" customHeight="1" x14ac:dyDescent="0.25">
      <c r="C119" s="479" t="s">
        <v>208</v>
      </c>
      <c r="D119" s="480" t="s">
        <v>209</v>
      </c>
      <c r="E119" s="481">
        <v>23.583362962962966</v>
      </c>
      <c r="F119" s="483" t="s">
        <v>91</v>
      </c>
      <c r="G119" s="67" t="s">
        <v>92</v>
      </c>
      <c r="H119" s="68" t="s">
        <v>27</v>
      </c>
      <c r="I119" s="69">
        <f>'Unit_Rates - $2015'!I66*1/Escalators!$G$12</f>
        <v>0</v>
      </c>
      <c r="J119" s="69">
        <f>'Unit_Rates - $2015'!J66*1/Escalators!$G$12*Escalators!$G$32</f>
        <v>2.1827270513092376</v>
      </c>
      <c r="K119" s="69">
        <f>'Unit_Rates - $2015'!K66*1/Escalators!$G$12*Escalators!$G$33</f>
        <v>3.9888527555850017</v>
      </c>
      <c r="L119" s="69">
        <f>'Unit_Rates - $2015'!L66*1/Escalators!$G$12*Escalators!$G$33</f>
        <v>0</v>
      </c>
      <c r="M119" s="69">
        <f>'Unit_Rates - $2015'!M66*1/Escalators!$G$12</f>
        <v>0</v>
      </c>
      <c r="N119" s="65" t="s">
        <v>210</v>
      </c>
      <c r="O119" s="84"/>
    </row>
    <row r="120" spans="2:22" ht="24.75" customHeight="1" x14ac:dyDescent="0.25">
      <c r="C120" s="479"/>
      <c r="D120" s="480"/>
      <c r="E120" s="482"/>
      <c r="F120" s="483"/>
      <c r="G120" s="67" t="s">
        <v>92</v>
      </c>
      <c r="H120" s="68" t="s">
        <v>27</v>
      </c>
      <c r="I120" s="69">
        <f>'Unit_Rates - $2015'!I67*1/Escalators!$G$12</f>
        <v>0</v>
      </c>
      <c r="J120" s="69">
        <f>'Unit_Rates - $2015'!J67*1/Escalators!$G$12*Escalators!$G$32</f>
        <v>8.4883829773137052</v>
      </c>
      <c r="K120" s="69">
        <f>'Unit_Rates - $2015'!K67*1/Escalators!$G$12*Escalators!$G$33</f>
        <v>19.76590044332568</v>
      </c>
      <c r="L120" s="69">
        <f>'Unit_Rates - $2015'!L67*1/Escalators!$G$12*Escalators!$G$33</f>
        <v>0</v>
      </c>
      <c r="M120" s="69">
        <f>'Unit_Rates - $2015'!M67*1/Escalators!$G$12</f>
        <v>0</v>
      </c>
      <c r="N120" s="65" t="s">
        <v>211</v>
      </c>
      <c r="O120" s="84"/>
      <c r="Q120" s="23">
        <f>IF(ISNA(VLOOKUP($C120,RWN_Det!$C$17:$H$98,6,FALSE)),0,VLOOKUP($C120,RWN_Det!$C$17:$H$98,6,FALSE))</f>
        <v>0</v>
      </c>
      <c r="R120" s="23">
        <f>IF(ISNA(VLOOKUP($C120,KMS_Det!$C$17:$H$95,6,FALSE)),0,VLOOKUP($C120,KMS_Det!$C$17:$H$95,6,FALSE))</f>
        <v>0</v>
      </c>
      <c r="S120" s="23">
        <f>IF(ISNA(VLOOKUP($C120,WGI_Det!$C$17:$H$77,6,FALSE)),0,VLOOKUP($C120,WGI_Det!$C$17:$H$77,6,FALSE))</f>
        <v>0</v>
      </c>
      <c r="T120" s="23">
        <f>IF(ISNA(VLOOKUP($C120,BGE_Det!$C$17:$H$91,6,FALSE)),0,VLOOKUP($C120,BGE_Det!$C$17:$H$91,6,FALSE))</f>
        <v>0</v>
      </c>
      <c r="U120" s="23">
        <f>IF(ISNA(VLOOKUP($C120,LDL_Det!$C$17:$H$73,6,FALSE)),0,VLOOKUP($C120,LDL_Det!$C$17:$H$73,6,FALSE))</f>
        <v>0</v>
      </c>
    </row>
    <row r="121" spans="2:22" x14ac:dyDescent="0.25">
      <c r="C121" s="65" t="s">
        <v>212</v>
      </c>
      <c r="D121" s="65" t="s">
        <v>213</v>
      </c>
      <c r="E121" s="458"/>
      <c r="F121" s="66" t="s">
        <v>91</v>
      </c>
      <c r="G121" s="67" t="s">
        <v>92</v>
      </c>
      <c r="H121" s="68" t="s">
        <v>27</v>
      </c>
      <c r="I121" s="458"/>
      <c r="J121" s="458"/>
      <c r="K121" s="458"/>
      <c r="L121" s="458"/>
      <c r="M121" s="458"/>
      <c r="N121" s="85"/>
      <c r="O121" s="84"/>
      <c r="P121" s="6"/>
      <c r="Q121" s="23">
        <f>IF(ISNA(VLOOKUP($C121,RWN_Det!$C$17:$H$98,6,FALSE)),0,VLOOKUP($C121,RWN_Det!$C$17:$H$98,6,FALSE))</f>
        <v>0</v>
      </c>
      <c r="R121" s="23">
        <f>IF(ISNA(VLOOKUP($C121,KMS_Det!$C$17:$H$95,6,FALSE)),0,VLOOKUP($C121,KMS_Det!$C$17:$H$95,6,FALSE))</f>
        <v>0</v>
      </c>
      <c r="S121" s="23">
        <f>IF(ISNA(VLOOKUP($C121,WGI_Det!$C$17:$H$77,6,FALSE)),0,VLOOKUP($C121,WGI_Det!$C$17:$H$77,6,FALSE))</f>
        <v>0</v>
      </c>
      <c r="T121" s="23">
        <f>IF(ISNA(VLOOKUP($C121,BGE_Det!$C$17:$H$91,6,FALSE)),0,VLOOKUP($C121,BGE_Det!$C$17:$H$91,6,FALSE))</f>
        <v>0</v>
      </c>
      <c r="U121" s="23">
        <f>IF(ISNA(VLOOKUP($C121,LDL_Det!$C$17:$H$73,6,FALSE)),0,VLOOKUP($C121,LDL_Det!$C$17:$H$73,6,FALSE))</f>
        <v>0</v>
      </c>
    </row>
    <row r="122" spans="2:22" x14ac:dyDescent="0.25">
      <c r="C122" s="65" t="s">
        <v>214</v>
      </c>
      <c r="D122" s="65" t="s">
        <v>215</v>
      </c>
      <c r="E122" s="458"/>
      <c r="F122" s="66" t="s">
        <v>91</v>
      </c>
      <c r="G122" s="67" t="s">
        <v>92</v>
      </c>
      <c r="H122" s="68" t="s">
        <v>27</v>
      </c>
      <c r="I122" s="458"/>
      <c r="J122" s="458"/>
      <c r="K122" s="458"/>
      <c r="L122" s="458"/>
      <c r="M122" s="458"/>
      <c r="N122" s="85"/>
      <c r="O122" s="84"/>
      <c r="P122" s="6"/>
      <c r="Q122" s="23">
        <f>IF(ISNA(VLOOKUP($C122,RWN_Det!$C$17:$H$98,6,FALSE)),0,VLOOKUP($C122,RWN_Det!$C$17:$H$98,6,FALSE))</f>
        <v>0</v>
      </c>
      <c r="R122" s="23">
        <f>IF(ISNA(VLOOKUP($C122,KMS_Det!$C$17:$H$95,6,FALSE)),0,VLOOKUP($C122,KMS_Det!$C$17:$H$95,6,FALSE))</f>
        <v>0</v>
      </c>
      <c r="S122" s="23">
        <f>IF(ISNA(VLOOKUP($C122,WGI_Det!$C$17:$H$77,6,FALSE)),0,VLOOKUP($C122,WGI_Det!$C$17:$H$77,6,FALSE))</f>
        <v>0</v>
      </c>
      <c r="T122" s="23">
        <f>IF(ISNA(VLOOKUP($C122,BGE_Det!$C$17:$H$91,6,FALSE)),0,VLOOKUP($C122,BGE_Det!$C$17:$H$91,6,FALSE))</f>
        <v>0</v>
      </c>
      <c r="U122" s="23">
        <f>IF(ISNA(VLOOKUP($C122,LDL_Det!$C$17:$H$73,6,FALSE)),0,VLOOKUP($C122,LDL_Det!$C$17:$H$73,6,FALSE))</f>
        <v>0</v>
      </c>
    </row>
    <row r="123" spans="2:22" x14ac:dyDescent="0.25">
      <c r="C123" s="65" t="s">
        <v>216</v>
      </c>
      <c r="D123" s="65" t="s">
        <v>217</v>
      </c>
      <c r="E123" s="458"/>
      <c r="F123" s="66" t="s">
        <v>91</v>
      </c>
      <c r="G123" s="67" t="s">
        <v>92</v>
      </c>
      <c r="H123" s="68" t="s">
        <v>27</v>
      </c>
      <c r="I123" s="458"/>
      <c r="J123" s="458"/>
      <c r="K123" s="458"/>
      <c r="L123" s="458"/>
      <c r="M123" s="458"/>
      <c r="N123" s="85"/>
      <c r="O123" s="84"/>
      <c r="P123" s="6"/>
      <c r="Q123" s="23">
        <f>IF(ISNA(VLOOKUP($C123,RWN_Det!$C$17:$H$98,6,FALSE)),0,VLOOKUP($C123,RWN_Det!$C$17:$H$98,6,FALSE))</f>
        <v>0</v>
      </c>
      <c r="R123" s="23">
        <f>IF(ISNA(VLOOKUP($C123,KMS_Det!$C$17:$H$95,6,FALSE)),0,VLOOKUP($C123,KMS_Det!$C$17:$H$95,6,FALSE))</f>
        <v>0</v>
      </c>
      <c r="S123" s="23">
        <f>IF(ISNA(VLOOKUP($C123,WGI_Det!$C$17:$H$77,6,FALSE)),0,VLOOKUP($C123,WGI_Det!$C$17:$H$77,6,FALSE))</f>
        <v>0</v>
      </c>
      <c r="T123" s="23">
        <f>IF(ISNA(VLOOKUP($C123,BGE_Det!$C$17:$H$91,6,FALSE)),0,VLOOKUP($C123,BGE_Det!$C$17:$H$91,6,FALSE))</f>
        <v>0</v>
      </c>
      <c r="U123" s="23">
        <f>IF(ISNA(VLOOKUP($C123,LDL_Det!$C$17:$H$73,6,FALSE)),0,VLOOKUP($C123,LDL_Det!$C$17:$H$73,6,FALSE))</f>
        <v>0</v>
      </c>
    </row>
    <row r="124" spans="2:22" x14ac:dyDescent="0.25">
      <c r="C124" s="65" t="s">
        <v>218</v>
      </c>
      <c r="D124" s="65" t="s">
        <v>219</v>
      </c>
      <c r="E124" s="69">
        <f t="shared" ref="E124:E130" si="0">SUM(I124:M124)</f>
        <v>58.579152635850363</v>
      </c>
      <c r="F124" s="66" t="s">
        <v>91</v>
      </c>
      <c r="G124" s="67" t="s">
        <v>92</v>
      </c>
      <c r="H124" s="68" t="s">
        <v>27</v>
      </c>
      <c r="I124" s="69">
        <f>'Unit_Rates - $2015'!I71*1/Escalators!$G$12</f>
        <v>18.133609302325581</v>
      </c>
      <c r="J124" s="69">
        <f>'Unit_Rates - $2015'!J71*1/Escalators!$G$12*Escalators!$G$32</f>
        <v>3.4597982840404655</v>
      </c>
      <c r="K124" s="69">
        <f>'Unit_Rates - $2015'!K71*1/Escalators!$G$12*Escalators!$G$33</f>
        <v>0</v>
      </c>
      <c r="L124" s="69">
        <f>'Unit_Rates - $2015'!L71*1/Escalators!$G$12*Escalators!$G$33</f>
        <v>32.925694532339904</v>
      </c>
      <c r="M124" s="69">
        <f>'Unit_Rates - $2015'!M71*1/Escalators!$G$12</f>
        <v>4.0600505171444095</v>
      </c>
      <c r="N124" s="85"/>
      <c r="O124" s="84"/>
      <c r="P124" s="6"/>
      <c r="Q124" s="23">
        <f>IF(ISNA(VLOOKUP($C124,RWN_Det!$C$17:$H$98,6,FALSE)),0,VLOOKUP($C124,RWN_Det!$C$17:$H$98,6,FALSE))</f>
        <v>0</v>
      </c>
      <c r="R124" s="23">
        <f>IF(ISNA(VLOOKUP($C124,KMS_Det!$C$17:$H$95,6,FALSE)),0,VLOOKUP($C124,KMS_Det!$C$17:$H$95,6,FALSE))</f>
        <v>0</v>
      </c>
      <c r="S124" s="23">
        <f>IF(ISNA(VLOOKUP($C124,WGI_Det!$C$17:$H$77,6,FALSE)),0,VLOOKUP($C124,WGI_Det!$C$17:$H$77,6,FALSE))</f>
        <v>0</v>
      </c>
      <c r="T124" s="23">
        <f>IF(ISNA(VLOOKUP($C124,BGE_Det!$C$17:$H$91,6,FALSE)),0,VLOOKUP($C124,BGE_Det!$C$17:$H$91,6,FALSE))</f>
        <v>0</v>
      </c>
      <c r="U124" s="23">
        <f>IF(ISNA(VLOOKUP($C124,LDL_Det!$C$17:$H$73,6,FALSE)),0,VLOOKUP($C124,LDL_Det!$C$17:$H$73,6,FALSE))</f>
        <v>0</v>
      </c>
    </row>
    <row r="125" spans="2:22" ht="30" x14ac:dyDescent="0.25">
      <c r="B125" s="472" t="s">
        <v>447</v>
      </c>
      <c r="C125" s="404"/>
      <c r="D125" s="86" t="s">
        <v>221</v>
      </c>
      <c r="E125" s="361">
        <f t="shared" si="0"/>
        <v>15.073780243679566</v>
      </c>
      <c r="F125" s="88" t="s">
        <v>91</v>
      </c>
      <c r="G125" s="89" t="s">
        <v>92</v>
      </c>
      <c r="H125" s="68" t="s">
        <v>27</v>
      </c>
      <c r="I125" s="94">
        <f>'Unit_Rates - $2015'!I72*1/Escalators!$G$12</f>
        <v>0</v>
      </c>
      <c r="J125" s="94">
        <f>'Unit_Rates - $2015'!J72*1/Escalators!$G$12*Escalators!$G$32</f>
        <v>6.5903594544361059</v>
      </c>
      <c r="K125" s="94">
        <f>'Unit_Rates - $2015'!K72*1/Escalators!$G$12*Escalators!$G$33</f>
        <v>0</v>
      </c>
      <c r="L125" s="94">
        <f>'Unit_Rates - $2015'!L72*1/Escalators!$G$12*Escalators!$G$33</f>
        <v>8.4834207892434605</v>
      </c>
      <c r="M125" s="94">
        <f>'Unit_Rates - $2015'!M72*1/Escalators!$G$12</f>
        <v>0</v>
      </c>
      <c r="N125" s="65"/>
      <c r="O125" s="84"/>
      <c r="Q125" s="23">
        <f>IF(ISNA(VLOOKUP($V125,RWN_Det!$C$17:$H$98,6,FALSE)),0,VLOOKUP($V125,RWN_Det!$C$17:$H$98,6,FALSE))</f>
        <v>0</v>
      </c>
      <c r="R125" s="23">
        <f>IF(ISNA(VLOOKUP($V125,KMS_Det!$C$17:$H$95,6,FALSE)),0,VLOOKUP($V125,KMS_Det!$C$17:$H$95,6,FALSE))</f>
        <v>0</v>
      </c>
      <c r="S125" s="23">
        <f>IF(ISNA(VLOOKUP($V125,WGI_Det!$C$17:$H$77,6,FALSE)),0,VLOOKUP($V125,WGI_Det!$C$17:$H$77,6,FALSE))</f>
        <v>0</v>
      </c>
      <c r="T125" s="23">
        <v>0</v>
      </c>
      <c r="U125" s="23">
        <v>0</v>
      </c>
      <c r="V125" t="s">
        <v>222</v>
      </c>
    </row>
    <row r="126" spans="2:22" x14ac:dyDescent="0.25">
      <c r="B126" s="473"/>
      <c r="C126" s="404"/>
      <c r="D126" s="86" t="s">
        <v>223</v>
      </c>
      <c r="E126" s="361">
        <f t="shared" si="0"/>
        <v>0.56751970099786619</v>
      </c>
      <c r="F126" s="66" t="s">
        <v>91</v>
      </c>
      <c r="G126" s="67" t="s">
        <v>92</v>
      </c>
      <c r="H126" s="68" t="s">
        <v>28</v>
      </c>
      <c r="I126" s="69">
        <f>'Unit_Rates - $2015'!I73*1/Escalators!$G$12</f>
        <v>0</v>
      </c>
      <c r="J126" s="69">
        <f>'Unit_Rates - $2015'!J73*1/Escalators!$G$12*Escalators!$G$32</f>
        <v>0</v>
      </c>
      <c r="K126" s="69">
        <f>'Unit_Rates - $2015'!K73*1/Escalators!$G$12*Escalators!$G$33</f>
        <v>0</v>
      </c>
      <c r="L126" s="69">
        <f>'Unit_Rates - $2015'!L73*1/Escalators!$G$12*Escalators!$G$33</f>
        <v>0.56751970099786619</v>
      </c>
      <c r="M126" s="69">
        <f>'Unit_Rates - $2015'!M73*1/Escalators!$G$12</f>
        <v>0</v>
      </c>
      <c r="N126" s="65"/>
      <c r="O126" s="84"/>
      <c r="Q126" s="23">
        <f>IF(ISNA(VLOOKUP($V126,RWN_Det!$C$17:$H$98,6,FALSE)),0,VLOOKUP($V126,RWN_Det!$C$17:$H$98,6,FALSE))</f>
        <v>0</v>
      </c>
      <c r="R126" s="23">
        <f>IF(ISNA(VLOOKUP($V126,KMS_Det!$C$17:$H$95,6,FALSE)),0,VLOOKUP($V126,KMS_Det!$C$17:$H$95,6,FALSE))</f>
        <v>0</v>
      </c>
      <c r="S126" s="23">
        <f>IF(ISNA(VLOOKUP($V126,WGI_Det!$C$17:$H$77,6,FALSE)),0,VLOOKUP($V126,WGI_Det!$C$17:$H$77,6,FALSE))</f>
        <v>0</v>
      </c>
      <c r="T126" s="23">
        <v>0</v>
      </c>
      <c r="U126" s="23">
        <v>0</v>
      </c>
      <c r="V126" t="s">
        <v>224</v>
      </c>
    </row>
    <row r="127" spans="2:22" x14ac:dyDescent="0.25">
      <c r="B127" s="473"/>
      <c r="C127" s="404"/>
      <c r="D127" s="91" t="s">
        <v>225</v>
      </c>
      <c r="E127" s="361">
        <f t="shared" si="0"/>
        <v>3.346484702505383</v>
      </c>
      <c r="F127" s="88" t="s">
        <v>91</v>
      </c>
      <c r="G127" s="89" t="s">
        <v>92</v>
      </c>
      <c r="H127" s="92" t="s">
        <v>28</v>
      </c>
      <c r="I127" s="94">
        <f>'Unit_Rates - $2015'!I74*1/Escalators!$G$12</f>
        <v>0</v>
      </c>
      <c r="J127" s="94">
        <f>'Unit_Rates - $2015'!J74*1/Escalators!$G$12*Escalators!$G$32</f>
        <v>0.1626127007148219</v>
      </c>
      <c r="K127" s="94">
        <f>'Unit_Rates - $2015'!K74*1/Escalators!$G$12*Escalators!$G$33</f>
        <v>0</v>
      </c>
      <c r="L127" s="94">
        <f>'Unit_Rates - $2015'!L74*1/Escalators!$G$12*Escalators!$G$33</f>
        <v>3.1838720017905611</v>
      </c>
      <c r="M127" s="94">
        <f>'Unit_Rates - $2015'!M74*1/Escalators!$G$12</f>
        <v>0</v>
      </c>
      <c r="N127" s="93"/>
      <c r="O127" s="84"/>
      <c r="Q127" s="23">
        <f>IF(ISNA(VLOOKUP($V127,RWN_Det!$C$17:$H$98,6,FALSE)),0,VLOOKUP($V127,RWN_Det!$C$17:$H$98,6,FALSE))</f>
        <v>0</v>
      </c>
      <c r="R127" s="23">
        <f>IF(ISNA(VLOOKUP($V127,KMS_Det!$C$17:$H$95,6,FALSE)),0,VLOOKUP($V127,KMS_Det!$C$17:$H$95,6,FALSE))</f>
        <v>0</v>
      </c>
      <c r="S127" s="23">
        <f>IF(ISNA(VLOOKUP($V127,WGI_Det!$C$17:$H$77,6,FALSE)),0,VLOOKUP($V127,WGI_Det!$C$17:$H$77,6,FALSE))</f>
        <v>0</v>
      </c>
      <c r="T127" s="23">
        <v>0</v>
      </c>
      <c r="U127" s="23">
        <v>0</v>
      </c>
      <c r="V127" t="s">
        <v>226</v>
      </c>
    </row>
    <row r="128" spans="2:22" x14ac:dyDescent="0.25">
      <c r="B128" s="473"/>
      <c r="C128" s="404"/>
      <c r="D128" s="91" t="s">
        <v>227</v>
      </c>
      <c r="E128" s="361">
        <f t="shared" si="0"/>
        <v>39.127587383964311</v>
      </c>
      <c r="F128" s="88" t="s">
        <v>91</v>
      </c>
      <c r="G128" s="89" t="s">
        <v>92</v>
      </c>
      <c r="H128" s="92" t="s">
        <v>27</v>
      </c>
      <c r="I128" s="94">
        <f>'Unit_Rates - $2015'!I75*1/Escalators!$G$12</f>
        <v>12.429112570356471</v>
      </c>
      <c r="J128" s="94">
        <f>'Unit_Rates - $2015'!J75*1/Escalators!$G$12*Escalators!$G$32</f>
        <v>3.2609708570042826</v>
      </c>
      <c r="K128" s="94">
        <f>'Unit_Rates - $2015'!K75*1/Escalators!$G$12*Escalators!$G$33</f>
        <v>1.63517469464676</v>
      </c>
      <c r="L128" s="94">
        <f>'Unit_Rates - $2015'!L75*1/Escalators!$G$12*Escalators!$G$33</f>
        <v>21.802329261956796</v>
      </c>
      <c r="M128" s="94">
        <f>'Unit_Rates - $2015'!M75*1/Escalators!$G$12</f>
        <v>0</v>
      </c>
      <c r="N128" s="93"/>
      <c r="O128" s="84"/>
      <c r="Q128" s="23">
        <f>IF(ISNA(VLOOKUP($V128,RWN_Det!$C$17:$H$98,6,FALSE)),0,VLOOKUP($V128,RWN_Det!$C$17:$H$98,6,FALSE))</f>
        <v>0</v>
      </c>
      <c r="R128" s="23">
        <f>IF(ISNA(VLOOKUP($V128,KMS_Det!$C$17:$H$95,6,FALSE)),0,VLOOKUP($V128,KMS_Det!$C$17:$H$95,6,FALSE))</f>
        <v>0</v>
      </c>
      <c r="S128" s="23">
        <f>IF(ISNA(VLOOKUP($V128,WGI_Det!$C$17:$H$77,6,FALSE)),0,VLOOKUP($V128,WGI_Det!$C$17:$H$77,6,FALSE))</f>
        <v>0</v>
      </c>
      <c r="T128" s="23">
        <v>0</v>
      </c>
      <c r="U128" s="23">
        <v>0</v>
      </c>
      <c r="V128" t="s">
        <v>228</v>
      </c>
    </row>
    <row r="129" spans="2:22" x14ac:dyDescent="0.25">
      <c r="B129" s="473"/>
      <c r="C129" s="414" t="s">
        <v>229</v>
      </c>
      <c r="D129" s="414" t="s">
        <v>229</v>
      </c>
      <c r="E129" s="361">
        <f t="shared" si="0"/>
        <v>80.368821395059754</v>
      </c>
      <c r="F129" s="88" t="s">
        <v>91</v>
      </c>
      <c r="G129" s="89" t="s">
        <v>92</v>
      </c>
      <c r="H129" s="92" t="s">
        <v>27</v>
      </c>
      <c r="I129" s="94">
        <f>'Unit_Rates - $2015'!I76*1/Escalators!$G$12</f>
        <v>22.603922249219018</v>
      </c>
      <c r="J129" s="94">
        <v>20.350826596208069</v>
      </c>
      <c r="K129" s="94">
        <f>'Unit_Rates - $2015'!K76*1/Escalators!$G$12*Escalators!$G$33</f>
        <v>4.7858004636387212</v>
      </c>
      <c r="L129" s="94">
        <f>'Unit_Rates - $2015'!L76*1/Escalators!$G$12*Escalators!$G$33</f>
        <v>25.980059659753056</v>
      </c>
      <c r="M129" s="94">
        <f>'Unit_Rates - $2015'!M76*1/Escalators!$G$12</f>
        <v>6.6482124262408862</v>
      </c>
      <c r="N129" s="93"/>
      <c r="O129" s="84"/>
      <c r="Q129" s="23">
        <f>IF(ISNA(VLOOKUP($V129,RWN_Det!$C$17:$H$98,6,FALSE)),0,VLOOKUP($V129,RWN_Det!$C$17:$H$98,6,FALSE))</f>
        <v>0</v>
      </c>
      <c r="R129" s="23">
        <f>IF(ISNA(VLOOKUP($V129,KMS_Det!$C$17:$H$95,6,FALSE)),0,VLOOKUP($V129,KMS_Det!$C$17:$H$95,6,FALSE))</f>
        <v>0</v>
      </c>
      <c r="S129" s="23">
        <f>IF(ISNA(VLOOKUP($V129,WGI_Det!$C$17:$H$77,6,FALSE)),0,VLOOKUP($V129,WGI_Det!$C$17:$H$77,6,FALSE))</f>
        <v>0</v>
      </c>
      <c r="T129" s="23">
        <v>0</v>
      </c>
      <c r="U129" s="23">
        <v>0</v>
      </c>
      <c r="V129" t="s">
        <v>230</v>
      </c>
    </row>
    <row r="130" spans="2:22" x14ac:dyDescent="0.25">
      <c r="B130" s="473"/>
      <c r="C130" s="404"/>
      <c r="D130" s="65" t="s">
        <v>231</v>
      </c>
      <c r="E130" s="69">
        <f t="shared" si="0"/>
        <v>13.092232558139532</v>
      </c>
      <c r="F130" s="66" t="s">
        <v>91</v>
      </c>
      <c r="G130" s="67" t="s">
        <v>97</v>
      </c>
      <c r="H130" s="68" t="s">
        <v>96</v>
      </c>
      <c r="I130" s="69">
        <f>'Unit_Rates - $2015'!I77*1/Escalators!$G$12</f>
        <v>13.092232558139532</v>
      </c>
      <c r="J130" s="69">
        <f>'Unit_Rates - $2015'!J77*1/Escalators!$G$12*Escalators!$G$32</f>
        <v>0</v>
      </c>
      <c r="K130" s="69">
        <f>'Unit_Rates - $2015'!K77*1/Escalators!$G$12*Escalators!$G$33</f>
        <v>0</v>
      </c>
      <c r="L130" s="69">
        <f>'Unit_Rates - $2015'!L77*1/Escalators!$G$12*Escalators!$G$33</f>
        <v>0</v>
      </c>
      <c r="M130" s="69">
        <f>'Unit_Rates - $2015'!M77*1/Escalators!$G$12</f>
        <v>0</v>
      </c>
      <c r="N130" s="65"/>
      <c r="O130" s="84"/>
      <c r="Q130" s="23">
        <f>IF(ISNA(VLOOKUP($C130,RWN_Det!$C$17:$H$98,6,FALSE)),0,VLOOKUP($C130,RWN_Det!$C$17:$H$98,6,FALSE))</f>
        <v>0</v>
      </c>
      <c r="R130" s="23">
        <f>IF(ISNA(VLOOKUP($C130,KMS_Det!$C$17:$H$95,6,FALSE)),0,VLOOKUP($C130,KMS_Det!$C$17:$H$95,6,FALSE))</f>
        <v>0</v>
      </c>
      <c r="S130" s="23">
        <f>IF(ISNA(VLOOKUP($C130,WGI_Det!$C$17:$H$77,6,FALSE)),0,VLOOKUP($C130,WGI_Det!$C$17:$H$77,6,FALSE))</f>
        <v>0</v>
      </c>
      <c r="T130" s="23">
        <f>IF(ISNA(VLOOKUP($C130,BGE_Det!$C$17:$H$91,6,FALSE)),0,VLOOKUP($C130,BGE_Det!$C$17:$H$91,6,FALSE))</f>
        <v>0</v>
      </c>
      <c r="U130" s="23">
        <f>IF(ISNA(VLOOKUP($C130,LDL_Det!$C$17:$H$73,6,FALSE)),0,VLOOKUP($C130,LDL_Det!$C$17:$H$73,6,FALSE))</f>
        <v>0</v>
      </c>
    </row>
    <row r="131" spans="2:22" x14ac:dyDescent="0.25">
      <c r="B131" s="474"/>
      <c r="C131" s="404"/>
      <c r="D131" s="95" t="s">
        <v>232</v>
      </c>
      <c r="E131" s="69">
        <f>SUM(I131:M131)</f>
        <v>8.8476372093023237</v>
      </c>
      <c r="F131" s="66" t="s">
        <v>91</v>
      </c>
      <c r="G131" s="67" t="s">
        <v>97</v>
      </c>
      <c r="H131" s="68" t="s">
        <v>96</v>
      </c>
      <c r="I131" s="69">
        <f>'Unit_Rates - $2015'!I78*1/Escalators!$G$12</f>
        <v>8.8476372093023237</v>
      </c>
      <c r="J131" s="69">
        <f>'Unit_Rates - $2015'!J78*1/Escalators!$G$12*Escalators!$G$32</f>
        <v>0</v>
      </c>
      <c r="K131" s="69">
        <f>'Unit_Rates - $2015'!K78*1/Escalators!$G$12*Escalators!$G$33</f>
        <v>0</v>
      </c>
      <c r="L131" s="69">
        <f>'Unit_Rates - $2015'!L78*1/Escalators!$G$12*Escalators!$G$33</f>
        <v>0</v>
      </c>
      <c r="M131" s="69">
        <f>'Unit_Rates - $2015'!M78*1/Escalators!$G$12</f>
        <v>0</v>
      </c>
      <c r="N131" s="65"/>
      <c r="O131" s="84"/>
      <c r="Q131" s="23">
        <f>IF(ISNA(VLOOKUP($C131,RWN_Det!$C$17:$H$98,6,FALSE)),0,VLOOKUP($C131,RWN_Det!$C$17:$H$98,6,FALSE))</f>
        <v>0</v>
      </c>
      <c r="R131" s="23">
        <f>IF(ISNA(VLOOKUP($C131,KMS_Det!$C$17:$H$95,6,FALSE)),0,VLOOKUP($C131,KMS_Det!$C$17:$H$95,6,FALSE))</f>
        <v>0</v>
      </c>
      <c r="S131" s="23">
        <f>IF(ISNA(VLOOKUP($C131,WGI_Det!$C$17:$H$77,6,FALSE)),0,VLOOKUP($C131,WGI_Det!$C$17:$H$77,6,FALSE))</f>
        <v>0</v>
      </c>
      <c r="T131" s="23">
        <f>IF(ISNA(VLOOKUP($C131,BGE_Det!$C$17:$H$91,6,FALSE)),0,VLOOKUP($C131,BGE_Det!$C$17:$H$91,6,FALSE))</f>
        <v>0</v>
      </c>
      <c r="U131" s="23">
        <f>IF(ISNA(VLOOKUP($C131,LDL_Det!$C$17:$H$73,6,FALSE)),0,VLOOKUP($C131,LDL_Det!$C$17:$H$73,6,FALSE))</f>
        <v>0</v>
      </c>
    </row>
    <row r="132" spans="2:22" x14ac:dyDescent="0.25">
      <c r="B132" s="52"/>
    </row>
    <row r="133" spans="2:22" x14ac:dyDescent="0.25">
      <c r="B133" s="3" t="s">
        <v>233</v>
      </c>
      <c r="E133" s="96"/>
      <c r="F133" s="97"/>
      <c r="G133" s="98"/>
      <c r="H133" s="98"/>
      <c r="I133" s="96"/>
      <c r="J133" s="96"/>
      <c r="K133" s="97"/>
      <c r="L133" s="96"/>
    </row>
    <row r="134" spans="2:22" ht="14.45" customHeight="1" x14ac:dyDescent="0.25">
      <c r="C134" s="13"/>
      <c r="D134" s="13"/>
      <c r="E134" s="62" t="s">
        <v>115</v>
      </c>
      <c r="F134" s="13"/>
      <c r="G134" s="12"/>
      <c r="H134" s="12"/>
      <c r="I134" s="13"/>
      <c r="J134" s="78"/>
      <c r="K134" s="470" t="s">
        <v>23</v>
      </c>
      <c r="L134" s="470" t="s">
        <v>24</v>
      </c>
      <c r="M134" s="79"/>
      <c r="N134" s="80"/>
    </row>
    <row r="135" spans="2:22" x14ac:dyDescent="0.25">
      <c r="C135" s="63" t="s">
        <v>117</v>
      </c>
      <c r="D135" s="63" t="s">
        <v>118</v>
      </c>
      <c r="E135" s="64" t="s">
        <v>119</v>
      </c>
      <c r="F135" s="63" t="s">
        <v>120</v>
      </c>
      <c r="G135" s="63" t="s">
        <v>5</v>
      </c>
      <c r="H135" s="63" t="s">
        <v>20</v>
      </c>
      <c r="I135" s="63" t="s">
        <v>21</v>
      </c>
      <c r="J135" s="64" t="s">
        <v>72</v>
      </c>
      <c r="K135" s="470"/>
      <c r="L135" s="470"/>
      <c r="M135" s="82" t="s">
        <v>25</v>
      </c>
      <c r="N135" s="99"/>
    </row>
    <row r="136" spans="2:22" x14ac:dyDescent="0.25">
      <c r="C136" s="476" t="s">
        <v>234</v>
      </c>
      <c r="D136" s="100" t="s">
        <v>235</v>
      </c>
      <c r="E136" s="69">
        <f>SUM(I136:M136)</f>
        <v>2.6371173786538575</v>
      </c>
      <c r="F136" s="66" t="s">
        <v>91</v>
      </c>
      <c r="G136" s="67" t="s">
        <v>92</v>
      </c>
      <c r="H136" s="68" t="s">
        <v>28</v>
      </c>
      <c r="I136" s="69">
        <f>'Unit_Rates - $2015'!I83*1/Escalators!$G$12</f>
        <v>0.75700623405393375</v>
      </c>
      <c r="J136" s="69">
        <f>'Unit_Rates - $2015'!J83*1/Escalators!$G$12*Escalators!$G$32</f>
        <v>0.38862384690680363</v>
      </c>
      <c r="K136" s="69">
        <f>'Unit_Rates - $2015'!K83*1/Escalators!$G$12*Escalators!$G$33</f>
        <v>0</v>
      </c>
      <c r="L136" s="69">
        <f>'Unit_Rates - $2015'!L83*1/Escalators!$G$12*Escalators!$G$33</f>
        <v>1.4914872976931204</v>
      </c>
      <c r="M136" s="69">
        <f>'Unit_Rates - $2015'!M83*1/Escalators!$G$12</f>
        <v>0</v>
      </c>
      <c r="N136" s="65"/>
      <c r="O136" s="84"/>
    </row>
    <row r="137" spans="2:22" x14ac:dyDescent="0.25">
      <c r="C137" s="477"/>
      <c r="D137" s="95" t="s">
        <v>236</v>
      </c>
      <c r="E137" s="69">
        <f t="shared" ref="E137:E139" si="1">SUM(I137:M137)</f>
        <v>1.3185586893269288</v>
      </c>
      <c r="F137" s="66" t="s">
        <v>91</v>
      </c>
      <c r="G137" s="67" t="s">
        <v>92</v>
      </c>
      <c r="H137" s="68" t="s">
        <v>28</v>
      </c>
      <c r="I137" s="69">
        <f>'Unit_Rates - $2015'!I84*1/Escalators!$G$12</f>
        <v>0.37850311702696687</v>
      </c>
      <c r="J137" s="69">
        <f>'Unit_Rates - $2015'!J84*1/Escalators!$G$12*Escalators!$G$32</f>
        <v>0.19431192345340181</v>
      </c>
      <c r="K137" s="69">
        <f>'Unit_Rates - $2015'!K84*1/Escalators!$G$12*Escalators!$G$33</f>
        <v>0</v>
      </c>
      <c r="L137" s="69">
        <f>'Unit_Rates - $2015'!L84*1/Escalators!$G$12*Escalators!$G$33</f>
        <v>0.74574364884656019</v>
      </c>
      <c r="M137" s="69">
        <f>'Unit_Rates - $2015'!M84*1/Escalators!$G$12</f>
        <v>0</v>
      </c>
      <c r="N137" s="65"/>
      <c r="O137" s="84"/>
      <c r="Q137" s="23">
        <f>IF(ISNA(VLOOKUP("Surge Arrestor Replacement",RWN_Det!$C$17:$H$98,6,FALSE)),0,VLOOKUP("Surge Arrestor Replacement",RWN_Det!$C$17:$H$98,6,FALSE))</f>
        <v>0</v>
      </c>
      <c r="R137" s="23">
        <f>IF(ISNA(VLOOKUP("Surge Arrestor Replacement",KMS_Det!$C$17:$H$95,6,FALSE)),0,VLOOKUP("Surge Arrestor Replacement",KMS_Det!$C$17:$H$95,6,FALSE))</f>
        <v>0</v>
      </c>
      <c r="S137" s="23">
        <f>IF(ISNA(VLOOKUP("Surge Arrestor Replacement",WGI_Det!$C$17:$H$77,6,FALSE)),0,VLOOKUP("Surge Arrestor Replacement",WGI_Det!$C$17:$H$77,6,FALSE))</f>
        <v>0</v>
      </c>
      <c r="T137" s="23">
        <f>IF(ISNA(VLOOKUP($C137,BGE_Det!$C$17:$H$91,6,FALSE)),0,VLOOKUP($C137,BGE_Det!$C$17:$H$91,6,FALSE))</f>
        <v>0</v>
      </c>
      <c r="U137" s="23">
        <f>IF(ISNA(VLOOKUP($C137,LDL_Det!$C$17:$H$73,6,FALSE)),0,VLOOKUP($C137,LDL_Det!$C$17:$H$73,6,FALSE))</f>
        <v>0</v>
      </c>
    </row>
    <row r="138" spans="2:22" x14ac:dyDescent="0.25">
      <c r="C138" s="476" t="s">
        <v>237</v>
      </c>
      <c r="D138" s="65" t="s">
        <v>238</v>
      </c>
      <c r="E138" s="69">
        <f t="shared" si="1"/>
        <v>0.32009161450889179</v>
      </c>
      <c r="F138" s="66" t="s">
        <v>91</v>
      </c>
      <c r="G138" s="67" t="s">
        <v>92</v>
      </c>
      <c r="H138" s="68" t="s">
        <v>28</v>
      </c>
      <c r="I138" s="69">
        <f>'Unit_Rates - $2015'!I85*1/Escalators!$G$12</f>
        <v>0</v>
      </c>
      <c r="J138" s="69">
        <f>'Unit_Rates - $2015'!J85*1/Escalators!$G$12*Escalators!$G$32</f>
        <v>0.32009161450889179</v>
      </c>
      <c r="K138" s="69">
        <f>'Unit_Rates - $2015'!K85*1/Escalators!$G$12*Escalators!$G$33</f>
        <v>0</v>
      </c>
      <c r="L138" s="69">
        <f>'Unit_Rates - $2015'!L85*1/Escalators!$G$12*Escalators!$G$33</f>
        <v>0</v>
      </c>
      <c r="M138" s="69">
        <f>'Unit_Rates - $2015'!M85*1/Escalators!$G$12</f>
        <v>0</v>
      </c>
      <c r="N138" s="65"/>
      <c r="Q138" s="23">
        <f>IF(ISNA(VLOOKUP($D138,RWN_Det!$C$17:$H$98,6,FALSE)),0,VLOOKUP($D138,RWN_Det!$C$17:$H$98,6,FALSE))</f>
        <v>0</v>
      </c>
      <c r="R138" s="23">
        <f>IF(ISNA(VLOOKUP($D138,KMS_Det!$C$17:$H$95,6,FALSE)),0,VLOOKUP($D138,KMS_Det!$C$17:$H$95,6,FALSE))</f>
        <v>0</v>
      </c>
      <c r="S138" s="23">
        <f>IF(ISNA(VLOOKUP($D138,WGI_Det!$C$17:$H$77,6,FALSE)),0,VLOOKUP($D138,WGI_Det!$C$17:$H$77,6,FALSE))</f>
        <v>0</v>
      </c>
      <c r="T138" s="23">
        <f>IF(ISNA(VLOOKUP($C138,BGE_Det!$C$17:$H$91,6,FALSE)),0,VLOOKUP($C138,BGE_Det!$C$17:$H$91,6,FALSE))</f>
        <v>0</v>
      </c>
      <c r="U138" s="23">
        <f>IF(ISNA(VLOOKUP($C138,LDL_Det!$C$17:$H$73,6,FALSE)),0,VLOOKUP($C138,LDL_Det!$C$17:$H$73,6,FALSE))</f>
        <v>0</v>
      </c>
    </row>
    <row r="139" spans="2:22" x14ac:dyDescent="0.25">
      <c r="C139" s="478"/>
      <c r="D139" s="65" t="s">
        <v>239</v>
      </c>
      <c r="E139" s="69">
        <f t="shared" si="1"/>
        <v>10.669720483629726</v>
      </c>
      <c r="F139" s="66" t="s">
        <v>91</v>
      </c>
      <c r="G139" s="67" t="s">
        <v>92</v>
      </c>
      <c r="H139" s="68" t="s">
        <v>28</v>
      </c>
      <c r="I139" s="69">
        <f>'Unit_Rates - $2015'!I86*1/Escalators!$G$12</f>
        <v>0</v>
      </c>
      <c r="J139" s="69">
        <f>'Unit_Rates - $2015'!J86*1/Escalators!$G$12*Escalators!$G$32</f>
        <v>10.669720483629726</v>
      </c>
      <c r="K139" s="69">
        <f>'Unit_Rates - $2015'!K86*1/Escalators!$G$12*Escalators!$G$33</f>
        <v>0</v>
      </c>
      <c r="L139" s="69">
        <f>'Unit_Rates - $2015'!L86*1/Escalators!$G$12*Escalators!$G$33</f>
        <v>0</v>
      </c>
      <c r="M139" s="69">
        <f>'Unit_Rates - $2015'!M86*1/Escalators!$G$12</f>
        <v>0</v>
      </c>
      <c r="N139" s="65"/>
      <c r="Q139" s="23">
        <f>IF(ISNA(VLOOKUP($D139,RWN_Det!$C$17:$H$98,6,FALSE)),0,VLOOKUP($D139,RWN_Det!$C$17:$H$98,6,FALSE))</f>
        <v>0</v>
      </c>
      <c r="R139" s="23">
        <f>IF(ISNA(VLOOKUP($D139,KMS_Det!$C$17:$H$95,6,FALSE)),0,VLOOKUP($D139,KMS_Det!$C$17:$H$95,6,FALSE))</f>
        <v>0</v>
      </c>
      <c r="S139" s="23">
        <f>IF(ISNA(VLOOKUP($D139,WGI_Det!$C$17:$H$77,6,FALSE)),0,VLOOKUP($D139,WGI_Det!$C$17:$H$77,6,FALSE))</f>
        <v>0</v>
      </c>
      <c r="T139" s="23">
        <f>IF(ISNA(VLOOKUP($C139,BGE_Det!$C$17:$H$91,6,FALSE)),0,VLOOKUP($C139,BGE_Det!$C$17:$H$91,6,FALSE))</f>
        <v>0</v>
      </c>
      <c r="U139" s="23">
        <f>IF(ISNA(VLOOKUP($C139,LDL_Det!$C$17:$H$73,6,FALSE)),0,VLOOKUP($C139,LDL_Det!$C$17:$H$73,6,FALSE))</f>
        <v>0</v>
      </c>
    </row>
    <row r="140" spans="2:22" x14ac:dyDescent="0.25">
      <c r="C140" s="478"/>
      <c r="D140" s="65" t="s">
        <v>240</v>
      </c>
      <c r="E140" s="69">
        <f>SUM(I140:M140)</f>
        <v>22.590738887672497</v>
      </c>
      <c r="F140" s="66" t="s">
        <v>91</v>
      </c>
      <c r="G140" s="67" t="s">
        <v>92</v>
      </c>
      <c r="H140" s="68" t="s">
        <v>28</v>
      </c>
      <c r="I140" s="69">
        <f>'Unit_Rates - $2015'!I87*1/Escalators!$G$12</f>
        <v>5.2025782688766116</v>
      </c>
      <c r="J140" s="69">
        <f>'Unit_Rates - $2015'!J87*1/Escalators!$G$12*Escalators!$G$32</f>
        <v>0</v>
      </c>
      <c r="K140" s="69">
        <f>'Unit_Rates - $2015'!K87*1/Escalators!$G$12*Escalators!$G$33</f>
        <v>0</v>
      </c>
      <c r="L140" s="69">
        <f>'Unit_Rates - $2015'!L87*1/Escalators!$G$12*Escalators!$G$33</f>
        <v>17.388160618795887</v>
      </c>
      <c r="M140" s="69">
        <f>'Unit_Rates - $2015'!M87*1/Escalators!$G$12</f>
        <v>0</v>
      </c>
      <c r="N140" s="65"/>
      <c r="Q140" s="23">
        <f>IF(ISNA(VLOOKUP($D140,RWN_Det!$C$17:$H$98,6,FALSE)),0,VLOOKUP($D140,RWN_Det!$C$17:$H$98,6,FALSE))</f>
        <v>0</v>
      </c>
      <c r="R140" s="23">
        <f>IF(ISNA(VLOOKUP($D140,KMS_Det!$C$17:$H$95,6,FALSE)),0,VLOOKUP($D140,KMS_Det!$C$17:$H$95,6,FALSE))</f>
        <v>0</v>
      </c>
      <c r="S140" s="23">
        <f>IF(ISNA(VLOOKUP($D140,WGI_Det!$C$17:$H$77,6,FALSE)),0,VLOOKUP($D140,WGI_Det!$C$17:$H$77,6,FALSE))</f>
        <v>0</v>
      </c>
      <c r="T140" s="23">
        <f>IF(ISNA(VLOOKUP($C140,BGE_Det!$C$17:$H$91,6,FALSE)),0,VLOOKUP($C140,BGE_Det!$C$17:$H$91,6,FALSE))</f>
        <v>0</v>
      </c>
      <c r="U140" s="23">
        <f>IF(ISNA(VLOOKUP($C140,LDL_Det!$C$17:$H$73,6,FALSE)),0,VLOOKUP($C140,LDL_Det!$C$17:$H$73,6,FALSE))</f>
        <v>0</v>
      </c>
    </row>
    <row r="141" spans="2:22" x14ac:dyDescent="0.25">
      <c r="C141" s="477"/>
      <c r="D141" s="65" t="s">
        <v>241</v>
      </c>
      <c r="E141" s="69">
        <f>SUM(I141:M141)</f>
        <v>0.54999999999999993</v>
      </c>
      <c r="F141" s="66" t="s">
        <v>91</v>
      </c>
      <c r="G141" s="67" t="s">
        <v>92</v>
      </c>
      <c r="H141" s="68" t="s">
        <v>28</v>
      </c>
      <c r="I141" s="74">
        <f>'Unit_Rates - $2015'!I88*1/Escalators!$G$12</f>
        <v>4.9999999999999996E-2</v>
      </c>
      <c r="J141" s="74">
        <f>'Unit_Rates - $2015'!J88*1/Escalators!$G$12*Escalators!$G$32</f>
        <v>0</v>
      </c>
      <c r="K141" s="74">
        <f>'Unit_Rates - $2015'!K88*1/Escalators!$G$12*Escalators!$G$33</f>
        <v>0</v>
      </c>
      <c r="L141" s="74">
        <f>'Unit_Rates - $2015'!L88*1/Escalators!$G$12*Escalators!$G$33</f>
        <v>0.49999999999999989</v>
      </c>
      <c r="M141" s="69">
        <f>'Unit_Rates - $2015'!M88*1/Escalators!$G$12</f>
        <v>0</v>
      </c>
      <c r="N141" s="65" t="s">
        <v>242</v>
      </c>
      <c r="Q141" s="23">
        <f>IF(ISNA(VLOOKUP($D141,RWN_Det!$C$17:$H$98,6,FALSE)),0,VLOOKUP($D141,RWN_Det!$C$17:$H$98,6,FALSE))</f>
        <v>0</v>
      </c>
      <c r="R141" s="23">
        <f>IF(ISNA(VLOOKUP($D141,KMS_Det!$C$17:$H$95,6,FALSE)),0,VLOOKUP($D141,KMS_Det!$C$17:$H$95,6,FALSE))</f>
        <v>0</v>
      </c>
      <c r="S141" s="23">
        <f>IF(ISNA(VLOOKUP($D141,WGI_Det!$C$17:$H$77,6,FALSE)),0,VLOOKUP($D141,WGI_Det!$C$17:$H$77,6,FALSE))</f>
        <v>0</v>
      </c>
      <c r="T141" s="23">
        <f>IF(ISNA(VLOOKUP($C141,BGE_Det!$C$17:$H$91,6,FALSE)),0,VLOOKUP($C141,BGE_Det!$C$17:$H$91,6,FALSE))</f>
        <v>0</v>
      </c>
      <c r="U141" s="23">
        <f>IF(ISNA(VLOOKUP($C141,LDL_Det!$C$17:$H$73,6,FALSE)),0,VLOOKUP($C141,LDL_Det!$C$17:$H$73,6,FALSE))</f>
        <v>0</v>
      </c>
    </row>
    <row r="142" spans="2:22" x14ac:dyDescent="0.25">
      <c r="C142" s="380" t="s">
        <v>25</v>
      </c>
      <c r="D142" s="65" t="s">
        <v>243</v>
      </c>
      <c r="E142" s="69">
        <f>SUM(I142:M142)</f>
        <v>70.806973791441067</v>
      </c>
      <c r="F142" s="66" t="s">
        <v>91</v>
      </c>
      <c r="G142" s="67" t="s">
        <v>92</v>
      </c>
      <c r="H142" s="68" t="s">
        <v>27</v>
      </c>
      <c r="I142" s="69">
        <f>'Unit_Rates - $2015'!I89*1/Escalators!$G$12</f>
        <v>31.215469613259668</v>
      </c>
      <c r="J142" s="69">
        <f>'Unit_Rates - $2015'!J89*1/Escalators!$G$12*Escalators!$G$32</f>
        <v>0</v>
      </c>
      <c r="K142" s="69">
        <f>'Unit_Rates - $2015'!K89*1/Escalators!$G$12*Escalators!$G$33</f>
        <v>0</v>
      </c>
      <c r="L142" s="69">
        <f>'Unit_Rates - $2015'!L89*1/Escalators!$G$12*Escalators!$G$33</f>
        <v>39.591504178181403</v>
      </c>
      <c r="M142" s="69">
        <f>'Unit_Rates - $2015'!M89*1/Escalators!$G$12</f>
        <v>0</v>
      </c>
      <c r="N142" s="65"/>
      <c r="Q142" s="23">
        <f>IF(ISNA(VLOOKUP($D142,RWN_Det!$C$17:$H$98,6,FALSE)),0,VLOOKUP($D142,RWN_Det!$C$17:$H$98,6,FALSE))</f>
        <v>0</v>
      </c>
      <c r="R142" s="23">
        <f>IF(ISNA(VLOOKUP($D142,KMS_Det!$C$17:$H$95,6,FALSE)),0,VLOOKUP($D142,KMS_Det!$C$17:$H$95,6,FALSE))</f>
        <v>0</v>
      </c>
      <c r="S142" s="23">
        <f>IF(ISNA(VLOOKUP($D142,WGI_Det!$C$17:$H$77,6,FALSE)),0,VLOOKUP($D142,WGI_Det!$C$17:$H$77,6,FALSE))</f>
        <v>0</v>
      </c>
      <c r="T142" s="23">
        <f>IF(ISNA(VLOOKUP($C142,BGE_Det!$C$17:$H$91,6,FALSE)),0,VLOOKUP($C142,BGE_Det!$C$17:$H$91,6,FALSE))</f>
        <v>0</v>
      </c>
      <c r="U142" s="23">
        <f>IF(ISNA(VLOOKUP($C142,LDL_Det!$C$17:$H$73,6,FALSE)),0,VLOOKUP($C142,LDL_Det!$C$17:$H$73,6,FALSE))</f>
        <v>0</v>
      </c>
    </row>
    <row r="144" spans="2:22" x14ac:dyDescent="0.25">
      <c r="B144" s="3" t="s">
        <v>244</v>
      </c>
    </row>
    <row r="145" spans="2:22" ht="14.45" customHeight="1" x14ac:dyDescent="0.25">
      <c r="C145" s="13"/>
      <c r="D145" s="13"/>
      <c r="E145" s="62" t="s">
        <v>115</v>
      </c>
      <c r="F145" s="13"/>
      <c r="G145" s="12"/>
      <c r="H145" s="12"/>
      <c r="I145" s="13"/>
      <c r="J145" s="78"/>
      <c r="K145" s="470" t="s">
        <v>23</v>
      </c>
      <c r="L145" s="470" t="s">
        <v>24</v>
      </c>
      <c r="M145" s="79"/>
      <c r="N145" s="80"/>
    </row>
    <row r="146" spans="2:22" x14ac:dyDescent="0.25">
      <c r="C146" s="63" t="s">
        <v>117</v>
      </c>
      <c r="D146" s="63" t="s">
        <v>118</v>
      </c>
      <c r="E146" s="64" t="s">
        <v>119</v>
      </c>
      <c r="F146" s="63" t="s">
        <v>120</v>
      </c>
      <c r="G146" s="63" t="s">
        <v>5</v>
      </c>
      <c r="H146" s="63" t="s">
        <v>20</v>
      </c>
      <c r="I146" s="63" t="s">
        <v>21</v>
      </c>
      <c r="J146" s="64" t="s">
        <v>72</v>
      </c>
      <c r="K146" s="470"/>
      <c r="L146" s="470"/>
      <c r="M146" s="82" t="s">
        <v>25</v>
      </c>
      <c r="N146" s="99"/>
    </row>
    <row r="147" spans="2:22" x14ac:dyDescent="0.25">
      <c r="C147" s="65" t="s">
        <v>245</v>
      </c>
      <c r="D147" s="65" t="s">
        <v>246</v>
      </c>
      <c r="E147" s="69">
        <f>SUM(I147:M147)</f>
        <v>55.161136538461506</v>
      </c>
      <c r="F147" s="66" t="s">
        <v>91</v>
      </c>
      <c r="G147" s="67" t="s">
        <v>92</v>
      </c>
      <c r="H147" s="68" t="s">
        <v>28</v>
      </c>
      <c r="I147" s="69">
        <f>'Unit_Rates - $2015'!I94*1/Escalators!$G$12</f>
        <v>14.999999999999996</v>
      </c>
      <c r="J147" s="69">
        <f>'Unit_Rates - $2015'!J94*1/Escalators!$G$12*Escalators!$G$32</f>
        <v>2.4999999999999991</v>
      </c>
      <c r="K147" s="69">
        <f>'Unit_Rates - $2015'!K94*1/Escalators!$G$12*Escalators!$G$33</f>
        <v>4.799999999999998</v>
      </c>
      <c r="L147" s="69">
        <f>'Unit_Rates - $2015'!L94*1/Escalators!$G$12*Escalators!$G$33</f>
        <v>32.861136538461515</v>
      </c>
      <c r="M147" s="69">
        <f>'Unit_Rates - $2015'!M94*1/Escalators!$G$12</f>
        <v>0</v>
      </c>
      <c r="N147" s="65"/>
      <c r="Q147" s="23">
        <f>IF(ISNA(VLOOKUP($C147,RWN_Det!$C$17:$H$98,6,FALSE)),0,VLOOKUP($C147,RWN_Det!$C$17:$H$98,6,FALSE))</f>
        <v>0</v>
      </c>
      <c r="R147" s="23">
        <f>IF(ISNA(VLOOKUP($C147,KMS_Det!$C$17:$H$95,6,FALSE)),0,VLOOKUP($C147,KMS_Det!$C$17:$H$95,6,FALSE))</f>
        <v>0</v>
      </c>
      <c r="S147" s="23">
        <f>IF(ISNA(VLOOKUP($C147,WGI_Det!$C$17:$H$77,6,FALSE)),0,VLOOKUP($C147,WGI_Det!$C$17:$H$77,6,FALSE))</f>
        <v>0</v>
      </c>
      <c r="T147" s="23">
        <f>IF(ISNA(VLOOKUP($C147,BGE_Det!$C$17:$H$91,6,FALSE)),0,VLOOKUP($C147,BGE_Det!$C$17:$H$91,6,FALSE))</f>
        <v>0</v>
      </c>
      <c r="U147" s="23">
        <f>IF(ISNA(VLOOKUP($C147,LDL_Det!$C$17:$H$73,6,FALSE)),0,VLOOKUP($C147,LDL_Det!$C$17:$H$73,6,FALSE))</f>
        <v>0</v>
      </c>
    </row>
    <row r="148" spans="2:22" x14ac:dyDescent="0.25">
      <c r="C148" s="65" t="s">
        <v>247</v>
      </c>
      <c r="D148" s="65" t="s">
        <v>248</v>
      </c>
      <c r="E148" s="69">
        <f t="shared" ref="E148:E151" si="2">SUM(I148:M148)</f>
        <v>67.516971373692428</v>
      </c>
      <c r="F148" s="66" t="s">
        <v>91</v>
      </c>
      <c r="G148" s="67" t="s">
        <v>92</v>
      </c>
      <c r="H148" s="68" t="s">
        <v>28</v>
      </c>
      <c r="I148" s="69">
        <f>'Unit_Rates - $2015'!I95*1/Escalators!$G$12</f>
        <v>22.603922249219018</v>
      </c>
      <c r="J148" s="69">
        <f>'Unit_Rates - $2015'!J95*1/Escalators!$G$12*Escalators!$G$32</f>
        <v>7.4989765748407473</v>
      </c>
      <c r="K148" s="69">
        <f>'Unit_Rates - $2015'!K95*1/Escalators!$G$12*Escalators!$G$33</f>
        <v>4.7858004636387212</v>
      </c>
      <c r="L148" s="69">
        <f>'Unit_Rates - $2015'!L95*1/Escalators!$G$12*Escalators!$G$33</f>
        <v>25.980059659753056</v>
      </c>
      <c r="M148" s="69">
        <f>'Unit_Rates - $2015'!M95*1/Escalators!$G$12</f>
        <v>6.6482124262408862</v>
      </c>
      <c r="N148" s="65"/>
      <c r="Q148" s="23">
        <f>IF(ISNA(VLOOKUP($C148,RWN_Det!$C$17:$H$98,6,FALSE)),0,VLOOKUP($C148,RWN_Det!$C$17:$H$98,6,FALSE))</f>
        <v>0</v>
      </c>
      <c r="R148" s="23">
        <f>IF(ISNA(VLOOKUP($C148,KMS_Det!$C$17:$H$95,6,FALSE)),0,VLOOKUP($C148,KMS_Det!$C$17:$H$95,6,FALSE))</f>
        <v>0</v>
      </c>
      <c r="S148" s="23">
        <f>IF(ISNA(VLOOKUP($C148,WGI_Det!$C$17:$H$77,6,FALSE)),0,VLOOKUP($C148,WGI_Det!$C$17:$H$77,6,FALSE))</f>
        <v>0</v>
      </c>
      <c r="T148" s="23">
        <f>IF(ISNA(VLOOKUP($C148,BGE_Det!$C$17:$H$91,6,FALSE)),0,VLOOKUP($C148,BGE_Det!$C$17:$H$91,6,FALSE))</f>
        <v>0</v>
      </c>
      <c r="U148" s="23">
        <f>IF(ISNA(VLOOKUP($C148,LDL_Det!$C$17:$H$73,6,FALSE)),0,VLOOKUP($C148,LDL_Det!$C$17:$H$73,6,FALSE))</f>
        <v>0</v>
      </c>
    </row>
    <row r="149" spans="2:22" x14ac:dyDescent="0.25">
      <c r="B149" s="387" t="s">
        <v>497</v>
      </c>
      <c r="C149" s="316" t="s">
        <v>436</v>
      </c>
      <c r="D149" s="316" t="s">
        <v>436</v>
      </c>
      <c r="E149" s="69">
        <f t="shared" si="2"/>
        <v>122.67810791215393</v>
      </c>
      <c r="F149" s="429" t="s">
        <v>91</v>
      </c>
      <c r="G149" s="430" t="s">
        <v>92</v>
      </c>
      <c r="H149" s="412" t="s">
        <v>27</v>
      </c>
      <c r="I149" s="69">
        <f t="shared" ref="I149:N149" si="3">I147+I148</f>
        <v>37.603922249219011</v>
      </c>
      <c r="J149" s="69">
        <f t="shared" si="3"/>
        <v>9.9989765748407464</v>
      </c>
      <c r="K149" s="69">
        <f t="shared" si="3"/>
        <v>9.5858004636387193</v>
      </c>
      <c r="L149" s="69">
        <f t="shared" si="3"/>
        <v>58.841196198214575</v>
      </c>
      <c r="M149" s="69">
        <f t="shared" si="3"/>
        <v>6.6482124262408862</v>
      </c>
      <c r="N149" s="69">
        <f t="shared" si="3"/>
        <v>0</v>
      </c>
      <c r="Q149" s="23">
        <f>IF(ISNA(VLOOKUP($C149,RWN_Det!$C$17:$H$98,6,FALSE)),0,VLOOKUP($C149,RWN_Det!$C$17:$H$98,6,FALSE))</f>
        <v>0</v>
      </c>
      <c r="R149" s="23">
        <f>IF(ISNA(VLOOKUP($C149,KMS_Det!$C$17:$H$95,6,FALSE)),0,VLOOKUP($C149,KMS_Det!$C$17:$H$95,6,FALSE))</f>
        <v>0</v>
      </c>
      <c r="S149" s="23">
        <f>IF(ISNA(VLOOKUP($C149,WGI_Det!$C$17:$H$77,6,FALSE)),0,VLOOKUP($C149,WGI_Det!$C$17:$H$77,6,FALSE))</f>
        <v>0</v>
      </c>
      <c r="T149" s="23">
        <f>IF(ISNA(VLOOKUP($C149,BGE_Det!$C$17:$H$91,6,FALSE)),0,VLOOKUP($C149,BGE_Det!$C$17:$H$91,6,FALSE))</f>
        <v>0</v>
      </c>
      <c r="U149" s="23">
        <f>IF(ISNA(VLOOKUP($C149,LDL_Det!$C$17:$H$73,6,FALSE)),0,VLOOKUP($C149,LDL_Det!$C$17:$H$73,6,FALSE))</f>
        <v>2</v>
      </c>
    </row>
    <row r="150" spans="2:22" x14ac:dyDescent="0.25">
      <c r="C150" s="65" t="s">
        <v>249</v>
      </c>
      <c r="D150" s="65" t="s">
        <v>250</v>
      </c>
      <c r="E150" s="69">
        <f t="shared" si="2"/>
        <v>50.28206311487223</v>
      </c>
      <c r="F150" s="66" t="s">
        <v>91</v>
      </c>
      <c r="G150" s="67" t="s">
        <v>92</v>
      </c>
      <c r="H150" s="68" t="s">
        <v>28</v>
      </c>
      <c r="I150" s="69">
        <f>'Unit_Rates - $2015'!I96*1/Escalators!$G$12</f>
        <v>15.156015503875969</v>
      </c>
      <c r="J150" s="69">
        <f>'Unit_Rates - $2015'!J96*1/Escalators!$G$12*Escalators!$G$32</f>
        <v>23.710478907916404</v>
      </c>
      <c r="K150" s="69">
        <f>'Unit_Rates - $2015'!K96*1/Escalators!$G$12*Escalators!$G$33</f>
        <v>0</v>
      </c>
      <c r="L150" s="69">
        <f>'Unit_Rates - $2015'!L96*1/Escalators!$G$12*Escalators!$G$33</f>
        <v>11.415568703079856</v>
      </c>
      <c r="M150" s="69">
        <f>'Unit_Rates - $2015'!M96*1/Escalators!$G$12</f>
        <v>0</v>
      </c>
      <c r="N150" s="65"/>
      <c r="Q150" s="23">
        <f>IF(ISNA(VLOOKUP($C150,RWN_Det!$C$17:$H$98,6,FALSE)),0,VLOOKUP($C150,RWN_Det!$C$17:$H$98,6,FALSE))</f>
        <v>0</v>
      </c>
      <c r="R150" s="23">
        <f>IF(ISNA(VLOOKUP($C150,KMS_Det!$C$17:$H$95,6,FALSE)),0,VLOOKUP($C150,KMS_Det!$C$17:$H$95,6,FALSE))</f>
        <v>0</v>
      </c>
      <c r="S150" s="23">
        <f>IF(ISNA(VLOOKUP($C150,WGI_Det!$C$17:$H$77,6,FALSE)),0,VLOOKUP($C150,WGI_Det!$C$17:$H$77,6,FALSE))</f>
        <v>0</v>
      </c>
      <c r="T150" s="23">
        <f>IF(ISNA(VLOOKUP($C150,BGE_Det!$C$17:$H$91,6,FALSE)),0,VLOOKUP($C150,BGE_Det!$C$17:$H$91,6,FALSE))</f>
        <v>0</v>
      </c>
      <c r="U150" s="23">
        <f>IF(ISNA(VLOOKUP($C150,LDL_Det!$C$17:$H$73,6,FALSE)),0,VLOOKUP($C150,LDL_Det!$C$17:$H$73,6,FALSE))</f>
        <v>0</v>
      </c>
    </row>
    <row r="151" spans="2:22" x14ac:dyDescent="0.25">
      <c r="C151" s="65" t="s">
        <v>251</v>
      </c>
      <c r="D151" s="65" t="s">
        <v>252</v>
      </c>
      <c r="E151" s="69">
        <f t="shared" si="2"/>
        <v>361.88316519214766</v>
      </c>
      <c r="F151" s="66" t="s">
        <v>91</v>
      </c>
      <c r="G151" s="67" t="s">
        <v>92</v>
      </c>
      <c r="H151" s="68" t="s">
        <v>28</v>
      </c>
      <c r="I151" s="69">
        <f>'Unit_Rates - $2015'!I97*1/Escalators!$G$12</f>
        <v>193.23046251162791</v>
      </c>
      <c r="J151" s="69">
        <f>'Unit_Rates - $2015'!J97*1/Escalators!$G$12*Escalators!$G$32</f>
        <v>36.775582408617282</v>
      </c>
      <c r="K151" s="69">
        <f>'Unit_Rates - $2015'!K97*1/Escalators!$G$12*Escalators!$G$33</f>
        <v>0</v>
      </c>
      <c r="L151" s="69">
        <f>'Unit_Rates - $2015'!L97*1/Escalators!$G$12*Escalators!$G$33</f>
        <v>131.87712027190247</v>
      </c>
      <c r="M151" s="69">
        <f>'Unit_Rates - $2015'!M97*1/Escalators!$G$12</f>
        <v>0</v>
      </c>
      <c r="N151" s="65"/>
      <c r="Q151" s="23">
        <f>IF(ISNA(VLOOKUP($C151,RWN_Det!$C$17:$H$98,6,FALSE)),0,VLOOKUP($C151,RWN_Det!$C$17:$H$98,6,FALSE))</f>
        <v>0</v>
      </c>
      <c r="R151" s="23">
        <f>IF(ISNA(VLOOKUP($C151,KMS_Det!$C$17:$H$95,6,FALSE)),0,VLOOKUP($C151,KMS_Det!$C$17:$H$95,6,FALSE))</f>
        <v>0</v>
      </c>
      <c r="S151" s="23">
        <f>IF(ISNA(VLOOKUP($C151,WGI_Det!$C$17:$H$77,6,FALSE)),0,VLOOKUP($C151,WGI_Det!$C$17:$H$77,6,FALSE))</f>
        <v>0</v>
      </c>
      <c r="T151" s="23">
        <f>IF(ISNA(VLOOKUP($C151,BGE_Det!$C$17:$H$91,6,FALSE)),0,VLOOKUP($C151,BGE_Det!$C$17:$H$91,6,FALSE))</f>
        <v>0</v>
      </c>
      <c r="U151" s="23">
        <f>IF(ISNA(VLOOKUP($C151,LDL_Det!$C$17:$H$73,6,FALSE)),0,VLOOKUP($C151,LDL_Det!$C$17:$H$73,6,FALSE))</f>
        <v>0</v>
      </c>
    </row>
    <row r="152" spans="2:22" x14ac:dyDescent="0.25">
      <c r="F152" s="102"/>
    </row>
    <row r="154" spans="2:22" x14ac:dyDescent="0.25">
      <c r="B154" s="3" t="s">
        <v>253</v>
      </c>
      <c r="E154" s="25"/>
      <c r="I154" s="103"/>
    </row>
    <row r="155" spans="2:22" ht="14.45" customHeight="1" x14ac:dyDescent="0.25">
      <c r="C155" s="13"/>
      <c r="D155" s="13"/>
      <c r="E155" s="62" t="s">
        <v>115</v>
      </c>
      <c r="F155" s="13"/>
      <c r="G155" s="12"/>
      <c r="H155" s="12"/>
      <c r="I155" s="13"/>
      <c r="J155" s="78"/>
      <c r="K155" s="470" t="s">
        <v>23</v>
      </c>
      <c r="L155" s="470" t="s">
        <v>24</v>
      </c>
      <c r="M155" s="79"/>
      <c r="N155" s="80"/>
    </row>
    <row r="156" spans="2:22" x14ac:dyDescent="0.25">
      <c r="C156" s="63" t="s">
        <v>117</v>
      </c>
      <c r="D156" s="63" t="s">
        <v>118</v>
      </c>
      <c r="E156" s="64" t="s">
        <v>119</v>
      </c>
      <c r="F156" s="63" t="s">
        <v>120</v>
      </c>
      <c r="G156" s="63" t="s">
        <v>5</v>
      </c>
      <c r="H156" s="63" t="s">
        <v>20</v>
      </c>
      <c r="I156" s="63" t="s">
        <v>21</v>
      </c>
      <c r="J156" s="64" t="s">
        <v>72</v>
      </c>
      <c r="K156" s="470"/>
      <c r="L156" s="470"/>
      <c r="M156" s="82" t="s">
        <v>25</v>
      </c>
      <c r="N156" s="99"/>
    </row>
    <row r="157" spans="2:22" ht="30" x14ac:dyDescent="0.25">
      <c r="C157" s="471" t="s">
        <v>254</v>
      </c>
      <c r="D157" s="86" t="s">
        <v>255</v>
      </c>
      <c r="E157" s="94">
        <f>SUM(I157:M157)</f>
        <v>0</v>
      </c>
      <c r="F157" s="88" t="s">
        <v>91</v>
      </c>
      <c r="G157" s="89" t="s">
        <v>92</v>
      </c>
      <c r="H157" s="92" t="s">
        <v>27</v>
      </c>
      <c r="I157" s="104"/>
      <c r="J157" s="104"/>
      <c r="K157" s="104"/>
      <c r="L157" s="104"/>
      <c r="M157" s="104"/>
      <c r="N157" s="65" t="s">
        <v>256</v>
      </c>
      <c r="Q157" s="23">
        <f>IF(ISNA(VLOOKUP($T157,RWN_Det!$C$17:$H$98,6,FALSE)),0,VLOOKUP($T157,RWN_Det!$C$17:$H$98,6,FALSE))</f>
        <v>0</v>
      </c>
      <c r="R157" s="23">
        <f>IF(ISNA(VLOOKUP($T157,KMS_Det!$C$17:$H$95,6,FALSE)),0,VLOOKUP($T157,KMS_Det!$C$17:$H$95,6,FALSE))</f>
        <v>0</v>
      </c>
      <c r="S157" s="23">
        <f>IF(ISNA(VLOOKUP($T157,WGI_Det!$C$17:$H$77,6,FALSE)),0,VLOOKUP($T157,WGI_Det!$C$17:$H$77,6,FALSE))</f>
        <v>0</v>
      </c>
      <c r="T157" s="23">
        <f>IF(ISNA(VLOOKUP($C157,BGE_Det!$C$17:$H$91,6,FALSE)),0,VLOOKUP($C157,BGE_Det!$C$17:$H$91,6,FALSE))</f>
        <v>0</v>
      </c>
      <c r="U157" s="23">
        <f>IF(ISNA(VLOOKUP($C157,LDL_Det!$C$17:$H$73,6,FALSE)),0,VLOOKUP($C157,LDL_Det!$C$17:$H$73,6,FALSE))</f>
        <v>0</v>
      </c>
    </row>
    <row r="158" spans="2:22" x14ac:dyDescent="0.25">
      <c r="C158" s="471"/>
      <c r="D158" s="86" t="s">
        <v>257</v>
      </c>
      <c r="E158" s="94">
        <f t="shared" ref="E158:E160" si="4">SUM(I158:M158)</f>
        <v>0</v>
      </c>
      <c r="F158" s="88" t="s">
        <v>91</v>
      </c>
      <c r="G158" s="89" t="s">
        <v>92</v>
      </c>
      <c r="H158" s="92" t="s">
        <v>27</v>
      </c>
      <c r="I158" s="104"/>
      <c r="J158" s="104"/>
      <c r="K158" s="104"/>
      <c r="L158" s="104"/>
      <c r="M158" s="104"/>
      <c r="N158" s="65" t="s">
        <v>256</v>
      </c>
      <c r="Q158" s="23">
        <f>IF(ISNA(VLOOKUP($T158,RWN_Det!$C$17:$H$98,6,FALSE)),0,VLOOKUP($T158,RWN_Det!$C$17:$H$98,6,FALSE))</f>
        <v>0</v>
      </c>
      <c r="R158" s="23">
        <f>IF(ISNA(VLOOKUP($T158,KMS_Det!$C$17:$H$95,6,FALSE)),0,VLOOKUP($T158,KMS_Det!$C$17:$H$95,6,FALSE))</f>
        <v>0</v>
      </c>
      <c r="S158" s="23">
        <f>IF(ISNA(VLOOKUP($T158,WGI_Det!$C$17:$H$77,6,FALSE)),0,VLOOKUP($T158,WGI_Det!$C$17:$H$77,6,FALSE))</f>
        <v>0</v>
      </c>
      <c r="T158" s="23">
        <f>IF(ISNA(VLOOKUP($C158,BGE_Det!$C$17:$H$91,6,FALSE)),0,VLOOKUP($C158,BGE_Det!$C$17:$H$91,6,FALSE))</f>
        <v>0</v>
      </c>
      <c r="U158" s="23">
        <f>IF(ISNA(VLOOKUP($C158,LDL_Det!$C$17:$H$73,6,FALSE)),0,VLOOKUP($C158,LDL_Det!$C$17:$H$73,6,FALSE))</f>
        <v>0</v>
      </c>
    </row>
    <row r="159" spans="2:22" x14ac:dyDescent="0.25">
      <c r="C159" s="471"/>
      <c r="D159" s="86" t="s">
        <v>258</v>
      </c>
      <c r="E159" s="94">
        <f t="shared" si="4"/>
        <v>0</v>
      </c>
      <c r="F159" s="88" t="s">
        <v>91</v>
      </c>
      <c r="G159" s="89" t="s">
        <v>92</v>
      </c>
      <c r="H159" s="92" t="s">
        <v>27</v>
      </c>
      <c r="I159" s="104"/>
      <c r="J159" s="104"/>
      <c r="K159" s="104"/>
      <c r="L159" s="104"/>
      <c r="M159" s="104"/>
      <c r="N159" s="65" t="s">
        <v>256</v>
      </c>
      <c r="Q159" s="23">
        <f>IF(ISNA(VLOOKUP($T159,RWN_Det!$C$17:$H$98,6,FALSE)),0,VLOOKUP($T159,RWN_Det!$C$17:$H$98,6,FALSE))</f>
        <v>0</v>
      </c>
      <c r="R159" s="23">
        <f>IF(ISNA(VLOOKUP($T159,KMS_Det!$C$17:$H$95,6,FALSE)),0,VLOOKUP($T159,KMS_Det!$C$17:$H$95,6,FALSE))</f>
        <v>0</v>
      </c>
      <c r="S159" s="23">
        <f>IF(ISNA(VLOOKUP($T159,WGI_Det!$C$17:$H$77,6,FALSE)),0,VLOOKUP($T159,WGI_Det!$C$17:$H$77,6,FALSE))</f>
        <v>0</v>
      </c>
      <c r="T159" s="23">
        <f>IF(ISNA(VLOOKUP($C159,BGE_Det!$C$17:$H$91,6,FALSE)),0,VLOOKUP($C159,BGE_Det!$C$17:$H$91,6,FALSE))</f>
        <v>0</v>
      </c>
      <c r="U159" s="23">
        <f>IF(ISNA(VLOOKUP($C159,LDL_Det!$C$17:$H$73,6,FALSE)),0,VLOOKUP($C159,LDL_Det!$C$17:$H$73,6,FALSE))</f>
        <v>0</v>
      </c>
    </row>
    <row r="160" spans="2:22" x14ac:dyDescent="0.25">
      <c r="C160" s="471"/>
      <c r="D160" s="86" t="s">
        <v>259</v>
      </c>
      <c r="E160" s="94">
        <f t="shared" si="4"/>
        <v>96.251151101210851</v>
      </c>
      <c r="F160" s="88" t="s">
        <v>91</v>
      </c>
      <c r="G160" s="89" t="s">
        <v>92</v>
      </c>
      <c r="H160" s="92" t="s">
        <v>28</v>
      </c>
      <c r="I160" s="94">
        <f>'Unit_Rates - $2015'!I106*1/Escalators!$G$12</f>
        <v>32.740161372023131</v>
      </c>
      <c r="J160" s="94">
        <f>'Unit_Rates - $2015'!J106*1/Escalators!$G$12*Escalators!$G$32</f>
        <v>10.58516495486462</v>
      </c>
      <c r="K160" s="94">
        <f>'Unit_Rates - $2015'!K106*1/Escalators!$G$12*Escalators!$G$33</f>
        <v>6.7695822385762128</v>
      </c>
      <c r="L160" s="94">
        <f>'Unit_Rates - $2015'!L106*1/Escalators!$G$12*Escalators!$G$33</f>
        <v>36.555744088311528</v>
      </c>
      <c r="M160" s="94">
        <f>'Unit_Rates - $2015'!M106*1/Escalators!$G$12</f>
        <v>9.6004984474353545</v>
      </c>
      <c r="N160" s="105"/>
      <c r="Q160" s="23">
        <f>IF(ISNA(VLOOKUP($V160,RWN_Det!$C$17:$H$98,6,FALSE)),0,VLOOKUP($V160,RWN_Det!$C$17:$H$98,6,FALSE))</f>
        <v>0</v>
      </c>
      <c r="R160" s="23">
        <f>IF(ISNA(VLOOKUP($V160,KMS_Det!$C$17:$H$95,6,FALSE)),0,VLOOKUP($V160,KMS_Det!$C$17:$H$95,6,FALSE))</f>
        <v>0</v>
      </c>
      <c r="S160" s="23">
        <f>IF(ISNA(VLOOKUP($V160,WGI_Det!$C$17:$H$77,6,FALSE)),0,VLOOKUP($V160,WGI_Det!$C$17:$H$77,6,FALSE))</f>
        <v>0</v>
      </c>
      <c r="T160" s="23">
        <f>IF(ISNA(VLOOKUP($V160,BGE_Det!$C$17:$H$91,6,FALSE)),0,VLOOKUP($V160,BGE_Det!$C$17:$H$91,6,FALSE))</f>
        <v>0</v>
      </c>
      <c r="U160" s="23">
        <f>IF(ISNA(VLOOKUP($V160,LDL_Det!$C$17:$H$73,6,FALSE)),0,VLOOKUP($V160,LDL_Det!$C$17:$H$73,6,FALSE))</f>
        <v>0</v>
      </c>
      <c r="V160" t="s">
        <v>260</v>
      </c>
    </row>
    <row r="161" spans="2:14" x14ac:dyDescent="0.25">
      <c r="I161" s="22"/>
      <c r="J161" s="22"/>
      <c r="K161" s="22"/>
      <c r="L161" s="22"/>
      <c r="M161" s="22"/>
    </row>
    <row r="162" spans="2:14" ht="14.45" customHeight="1" x14ac:dyDescent="0.25">
      <c r="B162" s="3" t="s">
        <v>261</v>
      </c>
    </row>
    <row r="163" spans="2:14" ht="14.45" customHeight="1" x14ac:dyDescent="0.25">
      <c r="C163" s="13"/>
      <c r="D163" s="13"/>
      <c r="E163" s="62" t="s">
        <v>115</v>
      </c>
      <c r="F163" s="13"/>
      <c r="G163" s="12"/>
      <c r="H163" s="12"/>
      <c r="I163" s="13"/>
      <c r="J163" s="78"/>
      <c r="K163" s="470" t="s">
        <v>23</v>
      </c>
      <c r="L163" s="470" t="s">
        <v>24</v>
      </c>
      <c r="M163" s="79"/>
      <c r="N163" s="80"/>
    </row>
    <row r="164" spans="2:14" x14ac:dyDescent="0.25">
      <c r="C164" s="63" t="s">
        <v>117</v>
      </c>
      <c r="D164" s="63" t="s">
        <v>118</v>
      </c>
      <c r="E164" s="64" t="s">
        <v>119</v>
      </c>
      <c r="F164" s="63" t="s">
        <v>120</v>
      </c>
      <c r="G164" s="63" t="s">
        <v>5</v>
      </c>
      <c r="H164" s="63" t="s">
        <v>20</v>
      </c>
      <c r="I164" s="63" t="s">
        <v>21</v>
      </c>
      <c r="J164" s="64" t="s">
        <v>72</v>
      </c>
      <c r="K164" s="470"/>
      <c r="L164" s="470"/>
      <c r="M164" s="82" t="s">
        <v>25</v>
      </c>
      <c r="N164" s="99"/>
    </row>
    <row r="165" spans="2:14" x14ac:dyDescent="0.25">
      <c r="C165" s="471" t="s">
        <v>262</v>
      </c>
      <c r="D165" s="65" t="s">
        <v>263</v>
      </c>
      <c r="E165" s="461"/>
      <c r="F165" s="66" t="s">
        <v>91</v>
      </c>
      <c r="G165" s="67" t="s">
        <v>92</v>
      </c>
      <c r="H165" s="68" t="s">
        <v>28</v>
      </c>
      <c r="I165" s="458"/>
      <c r="J165" s="458"/>
      <c r="K165" s="458"/>
      <c r="L165" s="458"/>
      <c r="M165" s="458"/>
      <c r="N165" s="65"/>
    </row>
    <row r="166" spans="2:14" x14ac:dyDescent="0.25">
      <c r="C166" s="471"/>
      <c r="D166" s="106" t="s">
        <v>264</v>
      </c>
      <c r="E166" s="461"/>
      <c r="F166" s="66" t="s">
        <v>91</v>
      </c>
      <c r="G166" s="67" t="s">
        <v>2</v>
      </c>
      <c r="H166" s="68" t="s">
        <v>28</v>
      </c>
      <c r="I166" s="458"/>
      <c r="J166" s="458"/>
      <c r="K166" s="458"/>
      <c r="L166" s="458"/>
      <c r="M166" s="458"/>
      <c r="N166" s="65"/>
    </row>
    <row r="167" spans="2:14" x14ac:dyDescent="0.25">
      <c r="C167" s="471"/>
      <c r="D167" s="107" t="s">
        <v>265</v>
      </c>
      <c r="E167" s="461"/>
      <c r="F167" s="66" t="s">
        <v>91</v>
      </c>
      <c r="G167" s="67" t="s">
        <v>92</v>
      </c>
      <c r="H167" s="68" t="s">
        <v>28</v>
      </c>
      <c r="I167" s="458"/>
      <c r="J167" s="458"/>
      <c r="K167" s="458"/>
      <c r="L167" s="458"/>
      <c r="M167" s="458"/>
      <c r="N167" s="65"/>
    </row>
    <row r="168" spans="2:14" x14ac:dyDescent="0.25">
      <c r="E168" s="461"/>
      <c r="I168" s="461"/>
      <c r="J168" s="461"/>
      <c r="K168" s="461"/>
      <c r="L168" s="461"/>
      <c r="M168" s="461"/>
    </row>
    <row r="169" spans="2:14" x14ac:dyDescent="0.25">
      <c r="B169" s="3" t="s">
        <v>266</v>
      </c>
    </row>
    <row r="170" spans="2:14" ht="14.45" customHeight="1" x14ac:dyDescent="0.25">
      <c r="C170" s="13"/>
      <c r="D170" s="13"/>
      <c r="E170" s="62" t="s">
        <v>115</v>
      </c>
      <c r="F170" s="13"/>
      <c r="G170" s="12"/>
      <c r="H170" s="12"/>
      <c r="I170" s="13"/>
      <c r="J170" s="78"/>
      <c r="K170" s="470" t="s">
        <v>23</v>
      </c>
      <c r="L170" s="470" t="s">
        <v>24</v>
      </c>
      <c r="M170" s="79"/>
      <c r="N170" s="80"/>
    </row>
    <row r="171" spans="2:14" x14ac:dyDescent="0.25">
      <c r="C171" s="63" t="s">
        <v>117</v>
      </c>
      <c r="D171" s="63" t="s">
        <v>118</v>
      </c>
      <c r="E171" s="64" t="s">
        <v>119</v>
      </c>
      <c r="F171" s="63" t="s">
        <v>120</v>
      </c>
      <c r="G171" s="63" t="s">
        <v>5</v>
      </c>
      <c r="H171" s="63" t="s">
        <v>20</v>
      </c>
      <c r="I171" s="63" t="s">
        <v>21</v>
      </c>
      <c r="J171" s="64" t="s">
        <v>72</v>
      </c>
      <c r="K171" s="470"/>
      <c r="L171" s="470"/>
      <c r="M171" s="82" t="s">
        <v>25</v>
      </c>
      <c r="N171" s="99"/>
    </row>
    <row r="172" spans="2:14" ht="60" x14ac:dyDescent="0.25">
      <c r="C172" s="65" t="s">
        <v>267</v>
      </c>
      <c r="D172" s="86" t="s">
        <v>268</v>
      </c>
      <c r="E172" s="69">
        <f t="shared" ref="E172:E175" si="5">SUM(I172:M172)</f>
        <v>16.81860465116279</v>
      </c>
      <c r="F172" s="66" t="s">
        <v>91</v>
      </c>
      <c r="G172" s="67" t="s">
        <v>97</v>
      </c>
      <c r="H172" s="68" t="s">
        <v>96</v>
      </c>
      <c r="I172" s="69">
        <f>'Unit_Rates - $2015'!I118*1/Escalators!$G$12</f>
        <v>16.81860465116279</v>
      </c>
      <c r="J172" s="69">
        <f>'Unit_Rates - $2015'!J118*1/Escalators!$G$12*Escalators!$G$32</f>
        <v>0</v>
      </c>
      <c r="K172" s="69">
        <f>'Unit_Rates - $2015'!K118*1/Escalators!$G$12*Escalators!$G$33</f>
        <v>0</v>
      </c>
      <c r="L172" s="69">
        <f>'Unit_Rates - $2015'!L118*1/Escalators!$G$12*Escalators!$G$33</f>
        <v>0</v>
      </c>
      <c r="M172" s="69">
        <f>'Unit_Rates - $2015'!M118*1/Escalators!$G$12</f>
        <v>0</v>
      </c>
      <c r="N172" s="65"/>
    </row>
    <row r="173" spans="2:14" x14ac:dyDescent="0.25">
      <c r="C173" s="65" t="s">
        <v>269</v>
      </c>
      <c r="D173" s="86" t="s">
        <v>270</v>
      </c>
      <c r="E173" s="69">
        <f t="shared" si="5"/>
        <v>1.9866976744186042</v>
      </c>
      <c r="F173" s="66" t="s">
        <v>91</v>
      </c>
      <c r="G173" s="67" t="s">
        <v>97</v>
      </c>
      <c r="H173" s="68" t="s">
        <v>96</v>
      </c>
      <c r="I173" s="69">
        <f>'Unit_Rates - $2015'!I119*1/Escalators!$G$12</f>
        <v>1.9866976744186042</v>
      </c>
      <c r="J173" s="69">
        <f>'Unit_Rates - $2015'!J119*1/Escalators!$G$12*Escalators!$G$32</f>
        <v>0</v>
      </c>
      <c r="K173" s="69">
        <f>'Unit_Rates - $2015'!K119*1/Escalators!$G$12*Escalators!$G$33</f>
        <v>0</v>
      </c>
      <c r="L173" s="69">
        <f>'Unit_Rates - $2015'!L119*1/Escalators!$G$12*Escalators!$G$33</f>
        <v>0</v>
      </c>
      <c r="M173" s="69">
        <f>'Unit_Rates - $2015'!M119*1/Escalators!$G$12</f>
        <v>0</v>
      </c>
      <c r="N173" s="65"/>
    </row>
    <row r="174" spans="2:14" ht="30" x14ac:dyDescent="0.25">
      <c r="C174" s="65" t="s">
        <v>271</v>
      </c>
      <c r="D174" s="86" t="s">
        <v>272</v>
      </c>
      <c r="E174" s="69">
        <f t="shared" si="5"/>
        <v>1.0616744186046509</v>
      </c>
      <c r="F174" s="66" t="s">
        <v>91</v>
      </c>
      <c r="G174" s="67" t="s">
        <v>97</v>
      </c>
      <c r="H174" s="68" t="s">
        <v>96</v>
      </c>
      <c r="I174" s="69">
        <f>'Unit_Rates - $2015'!I120*1/Escalators!$G$12</f>
        <v>1.0616744186046509</v>
      </c>
      <c r="J174" s="69">
        <f>'Unit_Rates - $2015'!J120*1/Escalators!$G$12*Escalators!$G$32</f>
        <v>0</v>
      </c>
      <c r="K174" s="69">
        <f>'Unit_Rates - $2015'!K120*1/Escalators!$G$12*Escalators!$G$33</f>
        <v>0</v>
      </c>
      <c r="L174" s="69">
        <f>'Unit_Rates - $2015'!L120*1/Escalators!$G$12*Escalators!$G$33</f>
        <v>0</v>
      </c>
      <c r="M174" s="69">
        <f>'Unit_Rates - $2015'!M120*1/Escalators!$G$12</f>
        <v>0</v>
      </c>
      <c r="N174" s="65"/>
    </row>
    <row r="175" spans="2:14" x14ac:dyDescent="0.25">
      <c r="C175" s="65" t="s">
        <v>273</v>
      </c>
      <c r="D175" s="65" t="s">
        <v>274</v>
      </c>
      <c r="E175" s="69">
        <f t="shared" si="5"/>
        <v>0.24807441860465113</v>
      </c>
      <c r="F175" s="66" t="s">
        <v>94</v>
      </c>
      <c r="G175" s="67" t="s">
        <v>97</v>
      </c>
      <c r="H175" s="68" t="s">
        <v>96</v>
      </c>
      <c r="I175" s="69">
        <f>'Unit_Rates - $2015'!I121*1/Escalators!$G$12</f>
        <v>0.24807441860465113</v>
      </c>
      <c r="J175" s="69">
        <f>'Unit_Rates - $2015'!J121*1/Escalators!$G$12*Escalators!$G$32</f>
        <v>0</v>
      </c>
      <c r="K175" s="69">
        <f>'Unit_Rates - $2015'!K121*1/Escalators!$G$12*Escalators!$G$33</f>
        <v>0</v>
      </c>
      <c r="L175" s="69">
        <f>'Unit_Rates - $2015'!L121*1/Escalators!$G$12*Escalators!$G$33</f>
        <v>0</v>
      </c>
      <c r="M175" s="69">
        <f>'Unit_Rates - $2015'!M121*1/Escalators!$G$12</f>
        <v>0</v>
      </c>
      <c r="N175" s="65"/>
    </row>
    <row r="177" spans="6:6" x14ac:dyDescent="0.25">
      <c r="F177" s="76"/>
    </row>
  </sheetData>
  <mergeCells count="22">
    <mergeCell ref="B125:B131"/>
    <mergeCell ref="L145:L146"/>
    <mergeCell ref="M101:O101"/>
    <mergeCell ref="K117:K118"/>
    <mergeCell ref="L117:L118"/>
    <mergeCell ref="K134:K135"/>
    <mergeCell ref="L134:L135"/>
    <mergeCell ref="C136:C137"/>
    <mergeCell ref="C138:C141"/>
    <mergeCell ref="C119:C120"/>
    <mergeCell ref="D119:D120"/>
    <mergeCell ref="E119:E120"/>
    <mergeCell ref="F119:F120"/>
    <mergeCell ref="K145:K146"/>
    <mergeCell ref="K170:K171"/>
    <mergeCell ref="L170:L171"/>
    <mergeCell ref="K155:K156"/>
    <mergeCell ref="L155:L156"/>
    <mergeCell ref="C157:C160"/>
    <mergeCell ref="K163:K164"/>
    <mergeCell ref="L163:L164"/>
    <mergeCell ref="C165:C167"/>
  </mergeCells>
  <pageMargins left="0.7" right="0.7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Rpt_Cat!$D$3:$D$6</xm:f>
          </x14:formula1>
          <xm:sqref>H157:H160 H136:H142 H119:H131 H103:H113 H147:H151 H172:H175 H165:H167 H7:H55 H58:H99</xm:sqref>
        </x14:dataValidation>
        <x14:dataValidation type="list" allowBlank="1" showInputMessage="1" showErrorMessage="1">
          <x14:formula1>
            <xm:f>Rpt_Cat!$B$3:$B$8</xm:f>
          </x14:formula1>
          <xm:sqref>G157:G160 G103:G113 G119:G131 G136:G142 G7:G55 G172:G175 G165:G167 G147:G151 G58:G99</xm:sqref>
        </x14:dataValidation>
        <x14:dataValidation type="list" allowBlank="1" showInputMessage="1" showErrorMessage="1">
          <x14:formula1>
            <xm:f>Rpt_Cat!$F$3:$F$4</xm:f>
          </x14:formula1>
          <xm:sqref>F103:F113 F172:F175 F165:F167 F157:F160 F7:F55 F136:F142 F119:F131 F147:F151 F58:F99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123"/>
  <sheetViews>
    <sheetView zoomScale="70" zoomScaleNormal="70" workbookViewId="0">
      <pane xSplit="3" topLeftCell="D1" activePane="topRight" state="frozen"/>
      <selection activeCell="AL78" sqref="AL78"/>
      <selection pane="topRight"/>
    </sheetView>
  </sheetViews>
  <sheetFormatPr defaultRowHeight="15" outlineLevelCol="1" x14ac:dyDescent="0.25"/>
  <cols>
    <col min="1" max="1" width="3.7109375" customWidth="1"/>
    <col min="2" max="2" width="2.85546875" customWidth="1"/>
    <col min="3" max="3" width="46.7109375" customWidth="1"/>
    <col min="4" max="4" width="57.28515625" customWidth="1"/>
    <col min="5" max="5" width="9.7109375" customWidth="1"/>
    <col min="6" max="6" width="13.28515625" customWidth="1"/>
    <col min="7" max="7" width="33.28515625" style="2" customWidth="1"/>
    <col min="8" max="8" width="17.42578125" style="2" customWidth="1"/>
    <col min="9" max="9" width="9.5703125" bestFit="1" customWidth="1"/>
    <col min="10" max="10" width="12.28515625" customWidth="1"/>
    <col min="11" max="11" width="10.7109375" customWidth="1"/>
    <col min="12" max="12" width="11" customWidth="1"/>
    <col min="13" max="13" width="10.85546875" customWidth="1"/>
    <col min="14" max="14" width="12.7109375" customWidth="1"/>
    <col min="15" max="15" width="9.140625" customWidth="1"/>
    <col min="17" max="22" width="9.140625" customWidth="1" outlineLevel="1"/>
  </cols>
  <sheetData>
    <row r="1" spans="2:22" x14ac:dyDescent="0.25">
      <c r="B1" s="11" t="s">
        <v>275</v>
      </c>
      <c r="F1" s="452" t="s">
        <v>112</v>
      </c>
      <c r="G1" s="55"/>
    </row>
    <row r="2" spans="2:22" x14ac:dyDescent="0.25">
      <c r="B2" t="s">
        <v>336</v>
      </c>
      <c r="F2" s="55"/>
      <c r="G2" s="55"/>
    </row>
    <row r="3" spans="2:22" x14ac:dyDescent="0.25">
      <c r="B3" s="3" t="s">
        <v>113</v>
      </c>
      <c r="F3" s="55"/>
      <c r="G3" s="55"/>
    </row>
    <row r="4" spans="2:22" ht="31.5" x14ac:dyDescent="0.25">
      <c r="B4" s="56" t="s">
        <v>114</v>
      </c>
      <c r="I4" s="57"/>
      <c r="J4" s="58"/>
      <c r="K4" s="58"/>
      <c r="L4" s="59"/>
      <c r="M4" s="60"/>
      <c r="N4" s="61"/>
      <c r="O4" s="61"/>
    </row>
    <row r="5" spans="2:22" ht="14.45" customHeight="1" x14ac:dyDescent="0.25">
      <c r="C5" s="13"/>
      <c r="D5" s="13"/>
      <c r="E5" s="62" t="s">
        <v>115</v>
      </c>
      <c r="F5" s="13"/>
      <c r="G5" s="12"/>
      <c r="H5" s="12"/>
      <c r="I5" s="13"/>
      <c r="J5" s="13"/>
      <c r="K5" s="13"/>
    </row>
    <row r="6" spans="2:22" x14ac:dyDescent="0.25">
      <c r="C6" s="63" t="s">
        <v>117</v>
      </c>
      <c r="D6" s="63" t="s">
        <v>118</v>
      </c>
      <c r="E6" s="64" t="s">
        <v>119</v>
      </c>
      <c r="F6" s="63" t="s">
        <v>120</v>
      </c>
      <c r="G6" s="63" t="s">
        <v>5</v>
      </c>
      <c r="H6" s="63" t="s">
        <v>20</v>
      </c>
      <c r="I6" s="63" t="s">
        <v>21</v>
      </c>
      <c r="J6" s="63" t="s">
        <v>121</v>
      </c>
      <c r="K6" s="63" t="s">
        <v>25</v>
      </c>
      <c r="M6" s="2"/>
      <c r="N6" s="2"/>
      <c r="O6" s="2"/>
      <c r="Q6" s="2"/>
      <c r="R6" s="2"/>
      <c r="S6" s="2"/>
      <c r="T6" s="2"/>
      <c r="U6" s="2"/>
      <c r="V6" s="2"/>
    </row>
    <row r="7" spans="2:22" x14ac:dyDescent="0.25">
      <c r="C7" s="65" t="s">
        <v>122</v>
      </c>
      <c r="D7" s="65" t="s">
        <v>123</v>
      </c>
      <c r="E7" s="458"/>
      <c r="F7" s="66" t="s">
        <v>91</v>
      </c>
      <c r="G7" s="67" t="s">
        <v>3</v>
      </c>
      <c r="H7" s="68" t="s">
        <v>27</v>
      </c>
      <c r="I7" s="69">
        <v>68.506065486725646</v>
      </c>
      <c r="J7" s="458"/>
      <c r="K7" s="458"/>
      <c r="L7" s="2"/>
      <c r="M7" s="70"/>
      <c r="N7" s="70"/>
      <c r="O7" s="70"/>
    </row>
    <row r="8" spans="2:22" x14ac:dyDescent="0.25">
      <c r="C8" s="65" t="s">
        <v>124</v>
      </c>
      <c r="D8" s="65" t="s">
        <v>125</v>
      </c>
      <c r="E8" s="458"/>
      <c r="F8" s="66" t="s">
        <v>91</v>
      </c>
      <c r="G8" s="67" t="s">
        <v>3</v>
      </c>
      <c r="H8" s="68" t="s">
        <v>27</v>
      </c>
      <c r="I8" s="69">
        <v>106.43774159292033</v>
      </c>
      <c r="J8" s="458"/>
      <c r="K8" s="458"/>
      <c r="L8" s="2"/>
      <c r="M8" s="70"/>
      <c r="N8" s="70"/>
      <c r="O8" s="70"/>
    </row>
    <row r="9" spans="2:22" x14ac:dyDescent="0.25">
      <c r="C9" s="65" t="s">
        <v>334</v>
      </c>
      <c r="D9" s="65" t="s">
        <v>335</v>
      </c>
      <c r="E9" s="458"/>
      <c r="F9" s="66" t="s">
        <v>91</v>
      </c>
      <c r="G9" s="67" t="s">
        <v>3</v>
      </c>
      <c r="H9" s="68" t="s">
        <v>27</v>
      </c>
      <c r="I9" s="69">
        <v>402.63365878474167</v>
      </c>
      <c r="J9" s="458"/>
      <c r="K9" s="458"/>
      <c r="L9" s="2"/>
      <c r="M9" s="70"/>
      <c r="N9" s="70"/>
      <c r="O9" s="70"/>
    </row>
    <row r="10" spans="2:22" x14ac:dyDescent="0.25">
      <c r="C10" s="65" t="s">
        <v>126</v>
      </c>
      <c r="D10" s="65" t="s">
        <v>127</v>
      </c>
      <c r="E10" s="458"/>
      <c r="F10" s="66" t="s">
        <v>91</v>
      </c>
      <c r="G10" s="67" t="s">
        <v>3</v>
      </c>
      <c r="H10" s="68" t="s">
        <v>27</v>
      </c>
      <c r="I10" s="69">
        <v>358.38574100294977</v>
      </c>
      <c r="J10" s="458"/>
      <c r="K10" s="458"/>
      <c r="L10" s="2"/>
      <c r="M10" s="70"/>
      <c r="N10" s="70"/>
      <c r="O10" s="70"/>
    </row>
    <row r="11" spans="2:22" x14ac:dyDescent="0.25">
      <c r="C11" s="65" t="s">
        <v>128</v>
      </c>
      <c r="D11" s="65" t="s">
        <v>129</v>
      </c>
      <c r="E11" s="458"/>
      <c r="F11" s="66" t="s">
        <v>91</v>
      </c>
      <c r="G11" s="67" t="s">
        <v>3</v>
      </c>
      <c r="H11" s="68" t="s">
        <v>27</v>
      </c>
      <c r="I11" s="69">
        <v>37.069442477876102</v>
      </c>
      <c r="J11" s="458"/>
      <c r="K11" s="458"/>
      <c r="L11" s="2"/>
      <c r="M11" s="70"/>
      <c r="N11" s="70"/>
      <c r="O11" s="70"/>
    </row>
    <row r="12" spans="2:22" x14ac:dyDescent="0.25">
      <c r="C12" s="65" t="s">
        <v>130</v>
      </c>
      <c r="D12" s="65" t="s">
        <v>131</v>
      </c>
      <c r="E12" s="458"/>
      <c r="F12" s="66" t="s">
        <v>91</v>
      </c>
      <c r="G12" s="67" t="s">
        <v>3</v>
      </c>
      <c r="H12" s="68" t="s">
        <v>27</v>
      </c>
      <c r="I12" s="69">
        <v>40.541017699115038</v>
      </c>
      <c r="J12" s="458"/>
      <c r="K12" s="458"/>
      <c r="L12" s="2"/>
      <c r="M12" s="70"/>
      <c r="N12" s="70"/>
      <c r="O12" s="70"/>
    </row>
    <row r="13" spans="2:22" x14ac:dyDescent="0.25">
      <c r="C13" s="65" t="s">
        <v>132</v>
      </c>
      <c r="D13" s="65" t="s">
        <v>132</v>
      </c>
      <c r="E13" s="458"/>
      <c r="F13" s="66" t="s">
        <v>91</v>
      </c>
      <c r="G13" s="67" t="s">
        <v>3</v>
      </c>
      <c r="H13" s="68" t="s">
        <v>27</v>
      </c>
      <c r="I13" s="69">
        <v>0</v>
      </c>
      <c r="J13" s="458"/>
      <c r="K13" s="458"/>
      <c r="L13" s="2"/>
      <c r="M13" s="70"/>
      <c r="N13" s="70"/>
      <c r="O13" s="70"/>
    </row>
    <row r="14" spans="2:22" x14ac:dyDescent="0.25">
      <c r="C14" s="65" t="s">
        <v>133</v>
      </c>
      <c r="D14" s="65" t="s">
        <v>134</v>
      </c>
      <c r="E14" s="458"/>
      <c r="F14" s="66" t="s">
        <v>91</v>
      </c>
      <c r="G14" s="67" t="s">
        <v>2</v>
      </c>
      <c r="H14" s="68" t="s">
        <v>27</v>
      </c>
      <c r="I14" s="69">
        <v>1092.6971681415926</v>
      </c>
      <c r="J14" s="458"/>
      <c r="K14" s="458"/>
      <c r="L14" s="71"/>
      <c r="M14" s="70"/>
      <c r="N14" s="70"/>
      <c r="O14" s="70"/>
    </row>
    <row r="15" spans="2:22" x14ac:dyDescent="0.25">
      <c r="C15" s="65" t="s">
        <v>135</v>
      </c>
      <c r="D15" s="65" t="s">
        <v>136</v>
      </c>
      <c r="E15" s="458"/>
      <c r="F15" s="66" t="s">
        <v>91</v>
      </c>
      <c r="G15" s="67" t="s">
        <v>3</v>
      </c>
      <c r="H15" s="68" t="s">
        <v>27</v>
      </c>
      <c r="I15" s="69">
        <v>0</v>
      </c>
      <c r="J15" s="458"/>
      <c r="K15" s="458"/>
      <c r="L15" s="2"/>
      <c r="M15" s="70"/>
      <c r="N15" s="70"/>
      <c r="O15" s="70"/>
    </row>
    <row r="16" spans="2:22" x14ac:dyDescent="0.25">
      <c r="C16" s="65" t="s">
        <v>137</v>
      </c>
      <c r="D16" s="65" t="s">
        <v>138</v>
      </c>
      <c r="E16" s="458"/>
      <c r="F16" s="66" t="s">
        <v>91</v>
      </c>
      <c r="G16" s="67" t="s">
        <v>3</v>
      </c>
      <c r="H16" s="68" t="s">
        <v>27</v>
      </c>
      <c r="I16" s="69">
        <v>1277.3132743362828</v>
      </c>
      <c r="J16" s="458"/>
      <c r="K16" s="458"/>
      <c r="L16" s="2"/>
      <c r="M16" s="70"/>
      <c r="N16" s="70"/>
      <c r="O16" s="70"/>
    </row>
    <row r="17" spans="3:21" x14ac:dyDescent="0.25">
      <c r="C17" s="65" t="s">
        <v>139</v>
      </c>
      <c r="D17" s="65" t="s">
        <v>140</v>
      </c>
      <c r="E17" s="458"/>
      <c r="F17" s="66" t="s">
        <v>91</v>
      </c>
      <c r="G17" s="67" t="s">
        <v>3</v>
      </c>
      <c r="H17" s="68" t="s">
        <v>27</v>
      </c>
      <c r="I17" s="69">
        <v>1378.3627906976742</v>
      </c>
      <c r="J17" s="458"/>
      <c r="K17" s="458"/>
      <c r="L17" s="2"/>
      <c r="M17" s="70"/>
      <c r="N17" s="70"/>
      <c r="O17" s="70"/>
    </row>
    <row r="18" spans="3:21" x14ac:dyDescent="0.25">
      <c r="C18" s="65" t="s">
        <v>141</v>
      </c>
      <c r="D18" s="65" t="s">
        <v>142</v>
      </c>
      <c r="E18" s="458"/>
      <c r="F18" s="66" t="s">
        <v>91</v>
      </c>
      <c r="G18" s="67" t="s">
        <v>3</v>
      </c>
      <c r="H18" s="68" t="s">
        <v>27</v>
      </c>
      <c r="I18" s="69">
        <v>660.35398230088481</v>
      </c>
      <c r="J18" s="458"/>
      <c r="K18" s="458"/>
      <c r="L18" s="2"/>
      <c r="M18" s="70"/>
      <c r="N18" s="70"/>
      <c r="O18" s="70"/>
    </row>
    <row r="19" spans="3:21" x14ac:dyDescent="0.25">
      <c r="C19" s="65" t="s">
        <v>143</v>
      </c>
      <c r="D19" s="65" t="s">
        <v>144</v>
      </c>
      <c r="E19" s="458"/>
      <c r="F19" s="66" t="s">
        <v>91</v>
      </c>
      <c r="G19" s="67" t="s">
        <v>3</v>
      </c>
      <c r="H19" s="68" t="s">
        <v>27</v>
      </c>
      <c r="I19" s="69">
        <v>119.83724093023255</v>
      </c>
      <c r="J19" s="458"/>
      <c r="K19" s="458"/>
      <c r="L19" s="2"/>
      <c r="M19" s="70"/>
      <c r="N19" s="70"/>
      <c r="O19" s="70"/>
    </row>
    <row r="20" spans="3:21" x14ac:dyDescent="0.25">
      <c r="C20" s="65" t="s">
        <v>337</v>
      </c>
      <c r="D20" s="65" t="s">
        <v>145</v>
      </c>
      <c r="E20" s="458"/>
      <c r="F20" s="66" t="s">
        <v>91</v>
      </c>
      <c r="G20" s="67" t="s">
        <v>3</v>
      </c>
      <c r="H20" s="68" t="s">
        <v>27</v>
      </c>
      <c r="I20" s="69">
        <v>439.39953982300887</v>
      </c>
      <c r="J20" s="458"/>
      <c r="K20" s="458"/>
      <c r="L20" s="2"/>
      <c r="M20" s="70"/>
      <c r="N20" s="70"/>
      <c r="O20" s="70"/>
    </row>
    <row r="21" spans="3:21" x14ac:dyDescent="0.25">
      <c r="C21" s="65" t="s">
        <v>338</v>
      </c>
      <c r="D21" s="65" t="s">
        <v>145</v>
      </c>
      <c r="E21" s="458"/>
      <c r="F21" s="66" t="s">
        <v>91</v>
      </c>
      <c r="G21" s="67" t="s">
        <v>3</v>
      </c>
      <c r="H21" s="68" t="s">
        <v>27</v>
      </c>
      <c r="I21" s="69">
        <v>383.76</v>
      </c>
      <c r="J21" s="458"/>
      <c r="K21" s="458"/>
      <c r="L21" s="2"/>
      <c r="M21" s="70"/>
      <c r="N21" s="70"/>
      <c r="O21" s="70"/>
    </row>
    <row r="22" spans="3:21" s="72" customFormat="1" x14ac:dyDescent="0.25">
      <c r="C22" s="65" t="s">
        <v>339</v>
      </c>
      <c r="D22" s="65" t="s">
        <v>146</v>
      </c>
      <c r="E22" s="458"/>
      <c r="F22" s="66" t="s">
        <v>91</v>
      </c>
      <c r="G22" s="67" t="s">
        <v>3</v>
      </c>
      <c r="H22" s="68" t="s">
        <v>27</v>
      </c>
      <c r="I22" s="69">
        <v>647.66103539823018</v>
      </c>
      <c r="J22" s="458"/>
      <c r="K22" s="458"/>
      <c r="L22" s="2"/>
      <c r="M22" s="70"/>
      <c r="N22" s="70"/>
      <c r="O22" s="70"/>
      <c r="Q22"/>
      <c r="R22"/>
      <c r="S22"/>
      <c r="T22"/>
      <c r="U22"/>
    </row>
    <row r="23" spans="3:21" x14ac:dyDescent="0.25">
      <c r="C23" s="65" t="s">
        <v>147</v>
      </c>
      <c r="D23" s="65" t="s">
        <v>148</v>
      </c>
      <c r="E23" s="458"/>
      <c r="F23" s="66" t="s">
        <v>91</v>
      </c>
      <c r="G23" s="67" t="s">
        <v>3</v>
      </c>
      <c r="H23" s="68" t="s">
        <v>27</v>
      </c>
      <c r="I23" s="69">
        <v>86.121892093023249</v>
      </c>
      <c r="J23" s="458"/>
      <c r="K23" s="458"/>
      <c r="L23" s="2"/>
      <c r="M23" s="70"/>
      <c r="N23" s="70"/>
      <c r="O23" s="70"/>
    </row>
    <row r="24" spans="3:21" x14ac:dyDescent="0.25">
      <c r="C24" s="65" t="s">
        <v>149</v>
      </c>
      <c r="D24" s="65" t="s">
        <v>149</v>
      </c>
      <c r="E24" s="458"/>
      <c r="F24" s="66" t="s">
        <v>91</v>
      </c>
      <c r="G24" s="67" t="s">
        <v>3</v>
      </c>
      <c r="H24" s="68" t="s">
        <v>27</v>
      </c>
      <c r="I24" s="69">
        <v>0</v>
      </c>
      <c r="J24" s="458"/>
      <c r="K24" s="458"/>
      <c r="L24" s="2"/>
      <c r="M24" s="70"/>
      <c r="N24" s="70"/>
      <c r="O24" s="70"/>
    </row>
    <row r="25" spans="3:21" x14ac:dyDescent="0.25">
      <c r="C25" s="65" t="s">
        <v>150</v>
      </c>
      <c r="D25" s="65" t="s">
        <v>151</v>
      </c>
      <c r="E25" s="458"/>
      <c r="F25" s="66" t="s">
        <v>91</v>
      </c>
      <c r="G25" s="67" t="s">
        <v>3</v>
      </c>
      <c r="H25" s="68" t="s">
        <v>27</v>
      </c>
      <c r="I25" s="69">
        <v>100.94548318584069</v>
      </c>
      <c r="J25" s="458"/>
      <c r="K25" s="458"/>
      <c r="L25" s="2"/>
      <c r="M25" s="70"/>
      <c r="N25" s="70"/>
      <c r="O25" s="70"/>
    </row>
    <row r="26" spans="3:21" x14ac:dyDescent="0.25">
      <c r="C26" s="65" t="s">
        <v>152</v>
      </c>
      <c r="D26" s="65" t="s">
        <v>153</v>
      </c>
      <c r="E26" s="458"/>
      <c r="F26" s="66" t="s">
        <v>91</v>
      </c>
      <c r="G26" s="67" t="s">
        <v>3</v>
      </c>
      <c r="H26" s="68" t="s">
        <v>27</v>
      </c>
      <c r="I26" s="69">
        <v>7.2299327433628298</v>
      </c>
      <c r="J26" s="458"/>
      <c r="K26" s="458"/>
      <c r="L26" s="2"/>
      <c r="M26" s="70"/>
      <c r="N26" s="70"/>
      <c r="O26" s="70"/>
    </row>
    <row r="27" spans="3:21" x14ac:dyDescent="0.25">
      <c r="C27" s="65" t="s">
        <v>154</v>
      </c>
      <c r="D27" s="65" t="s">
        <v>154</v>
      </c>
      <c r="E27" s="458"/>
      <c r="F27" s="66" t="s">
        <v>91</v>
      </c>
      <c r="G27" s="67" t="s">
        <v>3</v>
      </c>
      <c r="H27" s="68" t="s">
        <v>27</v>
      </c>
      <c r="I27" s="69">
        <v>0</v>
      </c>
      <c r="J27" s="458"/>
      <c r="K27" s="458"/>
      <c r="L27" s="2"/>
      <c r="M27" s="70"/>
      <c r="N27" s="70"/>
      <c r="O27" s="70"/>
    </row>
    <row r="28" spans="3:21" x14ac:dyDescent="0.25">
      <c r="C28" s="65" t="s">
        <v>155</v>
      </c>
      <c r="D28" s="65" t="s">
        <v>155</v>
      </c>
      <c r="E28" s="458"/>
      <c r="F28" s="66" t="s">
        <v>91</v>
      </c>
      <c r="G28" s="67" t="s">
        <v>3</v>
      </c>
      <c r="H28" s="68" t="s">
        <v>27</v>
      </c>
      <c r="I28" s="69">
        <v>0</v>
      </c>
      <c r="J28" s="458"/>
      <c r="K28" s="458"/>
      <c r="L28" s="2"/>
      <c r="M28" s="70"/>
      <c r="N28" s="70"/>
      <c r="O28" s="70"/>
    </row>
    <row r="29" spans="3:21" x14ac:dyDescent="0.25">
      <c r="C29" s="65" t="s">
        <v>156</v>
      </c>
      <c r="D29" s="65" t="s">
        <v>156</v>
      </c>
      <c r="E29" s="458"/>
      <c r="F29" s="66" t="s">
        <v>91</v>
      </c>
      <c r="G29" s="67" t="s">
        <v>3</v>
      </c>
      <c r="H29" s="68" t="s">
        <v>27</v>
      </c>
      <c r="I29" s="69">
        <v>25.624564601769904</v>
      </c>
      <c r="J29" s="458"/>
      <c r="K29" s="458"/>
      <c r="L29" s="2"/>
      <c r="M29" s="70"/>
      <c r="N29" s="70"/>
      <c r="O29" s="70"/>
    </row>
    <row r="30" spans="3:21" x14ac:dyDescent="0.25">
      <c r="C30" s="65" t="s">
        <v>157</v>
      </c>
      <c r="D30" s="65" t="s">
        <v>158</v>
      </c>
      <c r="E30" s="458"/>
      <c r="F30" s="66" t="s">
        <v>91</v>
      </c>
      <c r="G30" s="67" t="s">
        <v>3</v>
      </c>
      <c r="H30" s="68" t="s">
        <v>27</v>
      </c>
      <c r="I30" s="69">
        <v>0</v>
      </c>
      <c r="J30" s="458"/>
      <c r="K30" s="458"/>
      <c r="L30" s="2"/>
      <c r="M30" s="70"/>
      <c r="N30" s="70"/>
      <c r="O30" s="70"/>
    </row>
    <row r="31" spans="3:21" x14ac:dyDescent="0.25">
      <c r="C31" s="65" t="s">
        <v>159</v>
      </c>
      <c r="D31" s="65" t="s">
        <v>159</v>
      </c>
      <c r="E31" s="458"/>
      <c r="F31" s="66" t="s">
        <v>91</v>
      </c>
      <c r="G31" s="67" t="s">
        <v>3</v>
      </c>
      <c r="H31" s="68" t="s">
        <v>27</v>
      </c>
      <c r="I31" s="69">
        <v>0.58488495575221222</v>
      </c>
      <c r="J31" s="458"/>
      <c r="K31" s="458"/>
      <c r="L31" s="2"/>
      <c r="M31" s="70"/>
      <c r="N31" s="70"/>
      <c r="O31" s="70"/>
    </row>
    <row r="32" spans="3:21" x14ac:dyDescent="0.25">
      <c r="C32" s="65" t="s">
        <v>160</v>
      </c>
      <c r="D32" s="65" t="s">
        <v>160</v>
      </c>
      <c r="E32" s="458"/>
      <c r="F32" s="66" t="s">
        <v>91</v>
      </c>
      <c r="G32" s="67" t="s">
        <v>3</v>
      </c>
      <c r="H32" s="68" t="s">
        <v>27</v>
      </c>
      <c r="I32" s="69">
        <v>24.73714976744186</v>
      </c>
      <c r="J32" s="458"/>
      <c r="K32" s="458"/>
      <c r="L32" s="2"/>
      <c r="M32" s="70"/>
      <c r="N32" s="70"/>
      <c r="O32" s="70"/>
    </row>
    <row r="33" spans="2:21" x14ac:dyDescent="0.25">
      <c r="C33" s="65" t="s">
        <v>161</v>
      </c>
      <c r="D33" s="65" t="s">
        <v>162</v>
      </c>
      <c r="E33" s="458"/>
      <c r="F33" s="66" t="s">
        <v>91</v>
      </c>
      <c r="G33" s="67" t="s">
        <v>3</v>
      </c>
      <c r="H33" s="68" t="s">
        <v>27</v>
      </c>
      <c r="I33" s="69">
        <v>88.538375221238923</v>
      </c>
      <c r="J33" s="459"/>
      <c r="K33" s="458"/>
      <c r="L33" s="2"/>
      <c r="M33" s="70"/>
      <c r="N33" s="70"/>
      <c r="O33" s="70"/>
    </row>
    <row r="34" spans="2:21" x14ac:dyDescent="0.25">
      <c r="C34" s="65" t="s">
        <v>163</v>
      </c>
      <c r="D34" s="65" t="s">
        <v>164</v>
      </c>
      <c r="E34" s="458"/>
      <c r="F34" s="66" t="s">
        <v>91</v>
      </c>
      <c r="G34" s="67" t="s">
        <v>3</v>
      </c>
      <c r="H34" s="68" t="s">
        <v>27</v>
      </c>
      <c r="I34" s="69">
        <v>0</v>
      </c>
      <c r="J34" s="458"/>
      <c r="K34" s="458"/>
      <c r="L34" s="2"/>
      <c r="M34" s="70"/>
      <c r="N34" s="70"/>
      <c r="O34" s="70"/>
    </row>
    <row r="35" spans="2:21" x14ac:dyDescent="0.25">
      <c r="C35" s="65" t="s">
        <v>165</v>
      </c>
      <c r="D35" s="65" t="s">
        <v>166</v>
      </c>
      <c r="E35" s="458"/>
      <c r="F35" s="66" t="s">
        <v>91</v>
      </c>
      <c r="G35" s="67" t="s">
        <v>3</v>
      </c>
      <c r="H35" s="68" t="s">
        <v>27</v>
      </c>
      <c r="I35" s="69">
        <v>0</v>
      </c>
      <c r="J35" s="458"/>
      <c r="K35" s="458"/>
      <c r="L35" s="2"/>
      <c r="M35" s="70"/>
      <c r="N35" s="70"/>
      <c r="O35" s="70"/>
    </row>
    <row r="36" spans="2:21" x14ac:dyDescent="0.25">
      <c r="C36" s="65" t="s">
        <v>167</v>
      </c>
      <c r="D36" s="65" t="s">
        <v>168</v>
      </c>
      <c r="E36" s="458"/>
      <c r="F36" s="66" t="s">
        <v>91</v>
      </c>
      <c r="G36" s="67" t="s">
        <v>3</v>
      </c>
      <c r="H36" s="68" t="s">
        <v>27</v>
      </c>
      <c r="I36" s="69">
        <v>214.73768141592916</v>
      </c>
      <c r="J36" s="459"/>
      <c r="K36" s="458"/>
      <c r="L36" s="2"/>
      <c r="M36" s="70"/>
      <c r="N36" s="70"/>
      <c r="O36" s="70"/>
    </row>
    <row r="37" spans="2:21" x14ac:dyDescent="0.25">
      <c r="C37" s="65" t="s">
        <v>169</v>
      </c>
      <c r="D37" s="65" t="s">
        <v>170</v>
      </c>
      <c r="E37" s="458"/>
      <c r="F37" s="66" t="s">
        <v>91</v>
      </c>
      <c r="G37" s="67" t="s">
        <v>3</v>
      </c>
      <c r="H37" s="68" t="s">
        <v>27</v>
      </c>
      <c r="I37" s="69">
        <v>164.69749581395345</v>
      </c>
      <c r="J37" s="459"/>
      <c r="K37" s="458"/>
      <c r="L37" s="73"/>
      <c r="M37" s="70"/>
      <c r="N37" s="70"/>
      <c r="O37" s="70"/>
    </row>
    <row r="38" spans="2:21" x14ac:dyDescent="0.25">
      <c r="C38" s="65" t="s">
        <v>171</v>
      </c>
      <c r="D38" s="65" t="s">
        <v>172</v>
      </c>
      <c r="E38" s="458"/>
      <c r="F38" s="66" t="s">
        <v>91</v>
      </c>
      <c r="G38" s="67" t="s">
        <v>3</v>
      </c>
      <c r="H38" s="68" t="s">
        <v>27</v>
      </c>
      <c r="I38" s="69">
        <v>348.13767610619459</v>
      </c>
      <c r="J38" s="459"/>
      <c r="K38" s="458"/>
      <c r="L38" s="2"/>
      <c r="M38" s="70"/>
      <c r="N38" s="70"/>
      <c r="O38" s="70"/>
    </row>
    <row r="39" spans="2:21" x14ac:dyDescent="0.25">
      <c r="C39" s="65" t="s">
        <v>173</v>
      </c>
      <c r="D39" s="65" t="s">
        <v>174</v>
      </c>
      <c r="E39" s="458"/>
      <c r="F39" s="66" t="s">
        <v>91</v>
      </c>
      <c r="G39" s="67" t="s">
        <v>3</v>
      </c>
      <c r="H39" s="68" t="s">
        <v>27</v>
      </c>
      <c r="I39" s="69">
        <v>33.716340465116275</v>
      </c>
      <c r="J39" s="458"/>
      <c r="K39" s="458"/>
      <c r="L39" s="2"/>
      <c r="M39" s="70"/>
      <c r="N39" s="70"/>
      <c r="O39" s="70"/>
    </row>
    <row r="40" spans="2:21" x14ac:dyDescent="0.25">
      <c r="C40" s="65" t="s">
        <v>173</v>
      </c>
      <c r="D40" s="65" t="s">
        <v>175</v>
      </c>
      <c r="E40" s="458"/>
      <c r="F40" s="66" t="s">
        <v>91</v>
      </c>
      <c r="G40" s="67" t="s">
        <v>3</v>
      </c>
      <c r="H40" s="68" t="s">
        <v>27</v>
      </c>
      <c r="I40" s="69">
        <v>10.421017674418604</v>
      </c>
      <c r="J40" s="458"/>
      <c r="K40" s="458"/>
      <c r="L40" s="2"/>
      <c r="M40" s="70"/>
      <c r="N40" s="70"/>
      <c r="O40" s="70"/>
    </row>
    <row r="41" spans="2:21" x14ac:dyDescent="0.25">
      <c r="C41" s="65" t="s">
        <v>173</v>
      </c>
      <c r="D41" s="65" t="s">
        <v>176</v>
      </c>
      <c r="E41" s="458"/>
      <c r="F41" s="66" t="s">
        <v>91</v>
      </c>
      <c r="G41" s="67" t="s">
        <v>3</v>
      </c>
      <c r="H41" s="68" t="s">
        <v>27</v>
      </c>
      <c r="I41" s="69">
        <v>1.775013953488372</v>
      </c>
      <c r="J41" s="458"/>
      <c r="K41" s="458"/>
      <c r="L41" s="2"/>
      <c r="M41" s="70"/>
      <c r="N41" s="70"/>
      <c r="O41" s="70"/>
    </row>
    <row r="42" spans="2:21" x14ac:dyDescent="0.25">
      <c r="C42" s="65" t="s">
        <v>177</v>
      </c>
      <c r="D42" s="65" t="s">
        <v>178</v>
      </c>
      <c r="E42" s="458"/>
      <c r="F42" s="66" t="s">
        <v>91</v>
      </c>
      <c r="G42" s="67" t="s">
        <v>3</v>
      </c>
      <c r="H42" s="68" t="s">
        <v>27</v>
      </c>
      <c r="I42" s="74">
        <v>4.7168141592920348E-2</v>
      </c>
      <c r="J42" s="460"/>
      <c r="K42" s="458"/>
      <c r="L42" s="2"/>
      <c r="M42" s="70"/>
      <c r="N42" s="70"/>
      <c r="O42" s="70"/>
    </row>
    <row r="43" spans="2:21" x14ac:dyDescent="0.25">
      <c r="C43" s="65" t="s">
        <v>179</v>
      </c>
      <c r="D43" s="65" t="s">
        <v>180</v>
      </c>
      <c r="E43" s="458"/>
      <c r="F43" s="66" t="s">
        <v>91</v>
      </c>
      <c r="G43" s="67" t="s">
        <v>3</v>
      </c>
      <c r="H43" s="68" t="s">
        <v>27</v>
      </c>
      <c r="I43" s="69">
        <v>0</v>
      </c>
      <c r="J43" s="458"/>
      <c r="K43" s="458"/>
      <c r="L43" s="2"/>
      <c r="M43" s="70"/>
      <c r="N43" s="70"/>
      <c r="O43" s="70"/>
    </row>
    <row r="44" spans="2:21" s="72" customFormat="1" x14ac:dyDescent="0.25">
      <c r="C44" s="65" t="s">
        <v>181</v>
      </c>
      <c r="D44" s="65" t="s">
        <v>182</v>
      </c>
      <c r="E44" s="458"/>
      <c r="F44" s="66" t="s">
        <v>91</v>
      </c>
      <c r="G44" s="67" t="s">
        <v>3</v>
      </c>
      <c r="H44" s="68" t="s">
        <v>27</v>
      </c>
      <c r="I44" s="69">
        <v>123.95348837209301</v>
      </c>
      <c r="J44" s="458"/>
      <c r="K44" s="458"/>
      <c r="L44" s="2"/>
      <c r="M44" s="70"/>
      <c r="N44" s="70"/>
      <c r="O44" s="70"/>
      <c r="Q44"/>
      <c r="R44"/>
      <c r="S44"/>
      <c r="T44"/>
      <c r="U44"/>
    </row>
    <row r="45" spans="2:21" s="72" customFormat="1" x14ac:dyDescent="0.25">
      <c r="C45" s="65" t="s">
        <v>183</v>
      </c>
      <c r="D45" s="65" t="s">
        <v>184</v>
      </c>
      <c r="E45" s="458"/>
      <c r="F45" s="66" t="s">
        <v>91</v>
      </c>
      <c r="G45" s="67" t="s">
        <v>3</v>
      </c>
      <c r="H45" s="68" t="s">
        <v>27</v>
      </c>
      <c r="I45" s="69"/>
      <c r="J45" s="458"/>
      <c r="K45" s="458"/>
      <c r="L45" s="2"/>
      <c r="M45" s="70"/>
      <c r="N45" s="70"/>
      <c r="O45" s="70"/>
      <c r="Q45"/>
      <c r="R45"/>
      <c r="S45"/>
      <c r="T45"/>
      <c r="U45"/>
    </row>
    <row r="46" spans="2:21" x14ac:dyDescent="0.25">
      <c r="E46" s="75"/>
      <c r="F46" s="76"/>
      <c r="I46" s="57"/>
      <c r="J46" s="57"/>
      <c r="K46" s="57"/>
      <c r="L46" s="57"/>
      <c r="M46" s="57"/>
      <c r="N46" s="57"/>
    </row>
    <row r="47" spans="2:21" ht="30.6" customHeight="1" x14ac:dyDescent="0.25">
      <c r="B47" s="56" t="s">
        <v>186</v>
      </c>
      <c r="E47" s="75"/>
      <c r="F47" s="76"/>
      <c r="I47" s="57"/>
      <c r="J47" s="57"/>
      <c r="K47" s="57"/>
      <c r="L47" s="57"/>
      <c r="M47" s="57"/>
      <c r="N47" s="57"/>
    </row>
    <row r="48" spans="2:21" ht="14.45" customHeight="1" x14ac:dyDescent="0.25">
      <c r="C48" s="13"/>
      <c r="D48" s="13"/>
      <c r="E48" s="62" t="s">
        <v>115</v>
      </c>
      <c r="F48" s="13"/>
      <c r="G48" s="12"/>
      <c r="H48" s="12"/>
      <c r="I48" s="13"/>
      <c r="J48" s="13"/>
      <c r="K48" s="13"/>
      <c r="L48" s="57"/>
      <c r="M48" s="475"/>
      <c r="N48" s="475"/>
      <c r="O48" s="475"/>
    </row>
    <row r="49" spans="2:15" x14ac:dyDescent="0.25">
      <c r="B49" s="18"/>
      <c r="C49" s="63" t="s">
        <v>117</v>
      </c>
      <c r="D49" s="63" t="s">
        <v>118</v>
      </c>
      <c r="E49" s="64" t="s">
        <v>119</v>
      </c>
      <c r="F49" s="63" t="s">
        <v>120</v>
      </c>
      <c r="G49" s="63" t="s">
        <v>5</v>
      </c>
      <c r="H49" s="63" t="s">
        <v>20</v>
      </c>
      <c r="I49" s="63" t="s">
        <v>21</v>
      </c>
      <c r="J49" s="63" t="s">
        <v>121</v>
      </c>
      <c r="K49" s="63" t="s">
        <v>25</v>
      </c>
      <c r="L49" s="57"/>
      <c r="M49" s="2"/>
      <c r="N49" s="2"/>
      <c r="O49" s="2"/>
    </row>
    <row r="50" spans="2:15" x14ac:dyDescent="0.25">
      <c r="C50" s="65" t="s">
        <v>187</v>
      </c>
      <c r="D50" s="65" t="s">
        <v>188</v>
      </c>
      <c r="E50" s="458"/>
      <c r="F50" s="66" t="s">
        <v>91</v>
      </c>
      <c r="G50" s="67" t="s">
        <v>2</v>
      </c>
      <c r="H50" s="68" t="s">
        <v>27</v>
      </c>
      <c r="I50" s="69">
        <v>46.208057090239414</v>
      </c>
      <c r="J50" s="458"/>
      <c r="K50" s="458"/>
      <c r="L50" s="2"/>
      <c r="M50" s="70"/>
      <c r="N50" s="70"/>
      <c r="O50" s="70"/>
    </row>
    <row r="51" spans="2:15" x14ac:dyDescent="0.25">
      <c r="C51" s="65" t="s">
        <v>189</v>
      </c>
      <c r="D51" s="65" t="s">
        <v>188</v>
      </c>
      <c r="E51" s="458"/>
      <c r="F51" s="66" t="s">
        <v>91</v>
      </c>
      <c r="G51" s="67" t="s">
        <v>2</v>
      </c>
      <c r="H51" s="68" t="s">
        <v>27</v>
      </c>
      <c r="I51" s="69">
        <v>58.317856353591161</v>
      </c>
      <c r="J51" s="458"/>
      <c r="K51" s="458"/>
      <c r="L51" s="2"/>
      <c r="M51" s="70"/>
      <c r="N51" s="70"/>
      <c r="O51" s="70"/>
    </row>
    <row r="52" spans="2:15" x14ac:dyDescent="0.25">
      <c r="C52" s="65" t="s">
        <v>190</v>
      </c>
      <c r="D52" s="65" t="s">
        <v>191</v>
      </c>
      <c r="E52" s="458"/>
      <c r="F52" s="66" t="s">
        <v>91</v>
      </c>
      <c r="G52" s="67" t="s">
        <v>2</v>
      </c>
      <c r="H52" s="68" t="s">
        <v>27</v>
      </c>
      <c r="I52" s="69">
        <v>5.88950276243094</v>
      </c>
      <c r="J52" s="458"/>
      <c r="K52" s="458"/>
      <c r="L52" s="2"/>
      <c r="M52" s="70"/>
      <c r="N52" s="70"/>
      <c r="O52" s="70"/>
    </row>
    <row r="53" spans="2:15" x14ac:dyDescent="0.25">
      <c r="C53" s="65" t="s">
        <v>192</v>
      </c>
      <c r="D53" s="65" t="s">
        <v>192</v>
      </c>
      <c r="E53" s="458"/>
      <c r="F53" s="66" t="s">
        <v>91</v>
      </c>
      <c r="G53" s="67" t="s">
        <v>2</v>
      </c>
      <c r="H53" s="68" t="s">
        <v>27</v>
      </c>
      <c r="I53" s="69">
        <v>8.2030957642725593</v>
      </c>
      <c r="J53" s="458"/>
      <c r="K53" s="458"/>
      <c r="L53" s="2"/>
      <c r="M53" s="70"/>
      <c r="N53" s="70"/>
      <c r="O53" s="70"/>
    </row>
    <row r="54" spans="2:15" x14ac:dyDescent="0.25">
      <c r="C54" s="65" t="s">
        <v>193</v>
      </c>
      <c r="D54" s="65" t="s">
        <v>194</v>
      </c>
      <c r="E54" s="458"/>
      <c r="F54" s="66" t="s">
        <v>91</v>
      </c>
      <c r="G54" s="67" t="s">
        <v>2</v>
      </c>
      <c r="H54" s="68" t="s">
        <v>27</v>
      </c>
      <c r="I54" s="69">
        <v>92.456849907918979</v>
      </c>
      <c r="J54" s="458"/>
      <c r="K54" s="458"/>
      <c r="L54" s="2"/>
      <c r="M54" s="70"/>
      <c r="N54" s="70"/>
      <c r="O54" s="70"/>
    </row>
    <row r="55" spans="2:15" x14ac:dyDescent="0.25">
      <c r="C55" s="65" t="s">
        <v>195</v>
      </c>
      <c r="D55" s="65" t="s">
        <v>196</v>
      </c>
      <c r="E55" s="458"/>
      <c r="F55" s="66" t="s">
        <v>91</v>
      </c>
      <c r="G55" s="67" t="s">
        <v>2</v>
      </c>
      <c r="H55" s="68" t="s">
        <v>27</v>
      </c>
      <c r="I55" s="69">
        <v>186.46067587476981</v>
      </c>
      <c r="J55" s="458"/>
      <c r="K55" s="458"/>
      <c r="L55" s="2"/>
      <c r="M55" s="70"/>
      <c r="N55" s="70"/>
      <c r="O55" s="70"/>
    </row>
    <row r="56" spans="2:15" x14ac:dyDescent="0.25">
      <c r="C56" s="65" t="s">
        <v>197</v>
      </c>
      <c r="D56" s="65" t="s">
        <v>198</v>
      </c>
      <c r="E56" s="458"/>
      <c r="F56" s="66" t="s">
        <v>91</v>
      </c>
      <c r="G56" s="67" t="s">
        <v>2</v>
      </c>
      <c r="H56" s="68" t="s">
        <v>27</v>
      </c>
      <c r="I56" s="69">
        <v>154.73392449355433</v>
      </c>
      <c r="J56" s="458"/>
      <c r="K56" s="458"/>
      <c r="L56" s="2"/>
      <c r="M56" s="70"/>
      <c r="N56" s="70"/>
      <c r="O56" s="70"/>
    </row>
    <row r="57" spans="2:15" x14ac:dyDescent="0.25">
      <c r="C57" s="65" t="s">
        <v>199</v>
      </c>
      <c r="D57" s="65" t="s">
        <v>200</v>
      </c>
      <c r="E57" s="458"/>
      <c r="F57" s="66" t="s">
        <v>91</v>
      </c>
      <c r="G57" s="67" t="s">
        <v>2</v>
      </c>
      <c r="H57" s="68" t="s">
        <v>27</v>
      </c>
      <c r="I57" s="69">
        <v>39.589237569060778</v>
      </c>
      <c r="J57" s="458"/>
      <c r="K57" s="458"/>
      <c r="L57" s="2"/>
      <c r="M57" s="70"/>
      <c r="N57" s="70"/>
      <c r="O57" s="70"/>
    </row>
    <row r="58" spans="2:15" x14ac:dyDescent="0.25">
      <c r="C58" s="65" t="s">
        <v>201</v>
      </c>
      <c r="D58" s="65" t="s">
        <v>202</v>
      </c>
      <c r="E58" s="458"/>
      <c r="F58" s="66" t="s">
        <v>91</v>
      </c>
      <c r="G58" s="67" t="s">
        <v>2</v>
      </c>
      <c r="H58" s="68" t="s">
        <v>27</v>
      </c>
      <c r="I58" s="69">
        <v>31.775830570902396</v>
      </c>
      <c r="J58" s="458"/>
      <c r="K58" s="458"/>
      <c r="L58" s="2"/>
      <c r="M58" s="70"/>
      <c r="N58" s="70"/>
      <c r="O58" s="70"/>
    </row>
    <row r="59" spans="2:15" x14ac:dyDescent="0.25">
      <c r="C59" s="65" t="s">
        <v>203</v>
      </c>
      <c r="D59" s="65" t="s">
        <v>204</v>
      </c>
      <c r="E59" s="458"/>
      <c r="F59" s="66" t="s">
        <v>91</v>
      </c>
      <c r="G59" s="67" t="s">
        <v>2</v>
      </c>
      <c r="H59" s="68" t="s">
        <v>27</v>
      </c>
      <c r="I59" s="69">
        <v>140.881568372093</v>
      </c>
      <c r="J59" s="458"/>
      <c r="K59" s="458"/>
      <c r="L59" s="2"/>
      <c r="M59" s="70"/>
      <c r="N59" s="70"/>
      <c r="O59" s="70"/>
    </row>
    <row r="60" spans="2:15" x14ac:dyDescent="0.25">
      <c r="C60" s="65" t="s">
        <v>205</v>
      </c>
      <c r="D60" s="65" t="s">
        <v>206</v>
      </c>
      <c r="E60" s="458"/>
      <c r="F60" s="66" t="s">
        <v>91</v>
      </c>
      <c r="G60" s="67" t="s">
        <v>2</v>
      </c>
      <c r="H60" s="68" t="s">
        <v>27</v>
      </c>
      <c r="I60" s="69">
        <v>87.015440147329656</v>
      </c>
      <c r="J60" s="458"/>
      <c r="K60" s="458"/>
      <c r="L60" s="2"/>
      <c r="M60" s="70"/>
      <c r="N60" s="70"/>
      <c r="O60" s="70"/>
    </row>
    <row r="61" spans="2:15" x14ac:dyDescent="0.25">
      <c r="E61" s="75"/>
      <c r="F61" s="76"/>
      <c r="I61" s="57"/>
      <c r="J61" s="57"/>
      <c r="K61" s="57"/>
      <c r="L61" s="57"/>
      <c r="M61" s="57"/>
      <c r="N61" s="57"/>
    </row>
    <row r="62" spans="2:15" x14ac:dyDescent="0.25">
      <c r="E62" s="77"/>
    </row>
    <row r="63" spans="2:15" x14ac:dyDescent="0.25">
      <c r="B63" s="3" t="s">
        <v>207</v>
      </c>
    </row>
    <row r="64" spans="2:15" ht="15" customHeight="1" x14ac:dyDescent="0.25">
      <c r="C64" s="13"/>
      <c r="D64" s="13"/>
      <c r="E64" s="62" t="s">
        <v>115</v>
      </c>
      <c r="F64" s="13"/>
      <c r="G64" s="12"/>
      <c r="H64" s="12"/>
      <c r="I64" s="13"/>
      <c r="J64" s="78"/>
      <c r="K64" s="470" t="s">
        <v>23</v>
      </c>
      <c r="L64" s="470" t="s">
        <v>24</v>
      </c>
      <c r="M64" s="79"/>
      <c r="N64" s="80"/>
      <c r="O64" s="81"/>
    </row>
    <row r="65" spans="2:23" x14ac:dyDescent="0.25">
      <c r="C65" s="63" t="s">
        <v>117</v>
      </c>
      <c r="D65" s="63" t="s">
        <v>118</v>
      </c>
      <c r="E65" s="64" t="s">
        <v>119</v>
      </c>
      <c r="F65" s="63" t="s">
        <v>120</v>
      </c>
      <c r="G65" s="63" t="s">
        <v>5</v>
      </c>
      <c r="H65" s="63" t="s">
        <v>20</v>
      </c>
      <c r="I65" s="63" t="s">
        <v>21</v>
      </c>
      <c r="J65" s="64" t="s">
        <v>72</v>
      </c>
      <c r="K65" s="470"/>
      <c r="L65" s="470"/>
      <c r="M65" s="82" t="s">
        <v>25</v>
      </c>
      <c r="N65" s="82"/>
      <c r="O65" s="2"/>
    </row>
    <row r="66" spans="2:23" ht="28.5" customHeight="1" x14ac:dyDescent="0.25">
      <c r="C66" s="479" t="s">
        <v>208</v>
      </c>
      <c r="D66" s="480" t="s">
        <v>209</v>
      </c>
      <c r="E66" s="481">
        <v>23.583362962962966</v>
      </c>
      <c r="F66" s="483" t="s">
        <v>91</v>
      </c>
      <c r="G66" s="67" t="s">
        <v>92</v>
      </c>
      <c r="H66" s="68" t="s">
        <v>27</v>
      </c>
      <c r="I66" s="83">
        <v>0</v>
      </c>
      <c r="J66" s="83">
        <v>2.0080465116279065</v>
      </c>
      <c r="K66" s="83">
        <v>3.6591069767441855</v>
      </c>
      <c r="L66" s="83">
        <v>0</v>
      </c>
      <c r="M66" s="83">
        <v>0</v>
      </c>
      <c r="N66" s="65" t="s">
        <v>210</v>
      </c>
      <c r="O66" s="84"/>
    </row>
    <row r="67" spans="2:23" ht="24.75" customHeight="1" x14ac:dyDescent="0.25">
      <c r="C67" s="479"/>
      <c r="D67" s="480"/>
      <c r="E67" s="482"/>
      <c r="F67" s="483"/>
      <c r="G67" s="67" t="s">
        <v>92</v>
      </c>
      <c r="H67" s="68" t="s">
        <v>27</v>
      </c>
      <c r="I67" s="83">
        <v>0</v>
      </c>
      <c r="J67" s="83">
        <v>7.8090697674418594</v>
      </c>
      <c r="K67" s="83">
        <v>18.131916279069767</v>
      </c>
      <c r="L67" s="83">
        <v>0</v>
      </c>
      <c r="M67" s="83">
        <v>0</v>
      </c>
      <c r="N67" s="65" t="s">
        <v>211</v>
      </c>
      <c r="O67" s="84"/>
    </row>
    <row r="68" spans="2:23" x14ac:dyDescent="0.25">
      <c r="C68" s="65" t="s">
        <v>212</v>
      </c>
      <c r="D68" s="65" t="s">
        <v>213</v>
      </c>
      <c r="E68" s="458"/>
      <c r="F68" s="66" t="s">
        <v>91</v>
      </c>
      <c r="G68" s="67" t="s">
        <v>92</v>
      </c>
      <c r="H68" s="68" t="s">
        <v>27</v>
      </c>
      <c r="I68" s="458"/>
      <c r="J68" s="458"/>
      <c r="K68" s="458"/>
      <c r="L68" s="458"/>
      <c r="M68" s="458"/>
      <c r="N68" s="85"/>
      <c r="O68" s="84"/>
      <c r="P68" s="6"/>
    </row>
    <row r="69" spans="2:23" x14ac:dyDescent="0.25">
      <c r="C69" s="65" t="s">
        <v>214</v>
      </c>
      <c r="D69" s="65" t="s">
        <v>215</v>
      </c>
      <c r="E69" s="458"/>
      <c r="F69" s="66" t="s">
        <v>91</v>
      </c>
      <c r="G69" s="67" t="s">
        <v>92</v>
      </c>
      <c r="H69" s="68" t="s">
        <v>27</v>
      </c>
      <c r="I69" s="458"/>
      <c r="J69" s="458"/>
      <c r="K69" s="458"/>
      <c r="L69" s="458"/>
      <c r="M69" s="458"/>
      <c r="N69" s="85"/>
      <c r="O69" s="84"/>
      <c r="P69" s="6"/>
    </row>
    <row r="70" spans="2:23" x14ac:dyDescent="0.25">
      <c r="C70" s="65" t="s">
        <v>216</v>
      </c>
      <c r="D70" s="65" t="s">
        <v>217</v>
      </c>
      <c r="E70" s="458"/>
      <c r="F70" s="66" t="s">
        <v>91</v>
      </c>
      <c r="G70" s="67" t="s">
        <v>92</v>
      </c>
      <c r="H70" s="68" t="s">
        <v>27</v>
      </c>
      <c r="I70" s="458"/>
      <c r="J70" s="458"/>
      <c r="K70" s="458"/>
      <c r="L70" s="458"/>
      <c r="M70" s="458"/>
      <c r="N70" s="85"/>
      <c r="O70" s="84"/>
      <c r="P70" s="6"/>
    </row>
    <row r="71" spans="2:23" x14ac:dyDescent="0.25">
      <c r="C71" s="65" t="s">
        <v>218</v>
      </c>
      <c r="D71" s="65" t="s">
        <v>219</v>
      </c>
      <c r="E71" s="83">
        <f t="shared" ref="E71:E77" si="0">SUM(I71:M71)</f>
        <v>54.323421346402782</v>
      </c>
      <c r="F71" s="66" t="s">
        <v>91</v>
      </c>
      <c r="G71" s="67" t="s">
        <v>92</v>
      </c>
      <c r="H71" s="68" t="s">
        <v>27</v>
      </c>
      <c r="I71" s="83">
        <v>17.106573023255812</v>
      </c>
      <c r="J71" s="83">
        <v>3.182915551001432</v>
      </c>
      <c r="K71" s="83">
        <v>0</v>
      </c>
      <c r="L71" s="83">
        <v>30.203832018803993</v>
      </c>
      <c r="M71" s="83">
        <v>3.8301007533415401</v>
      </c>
      <c r="N71" s="85"/>
      <c r="O71" s="84"/>
      <c r="P71" s="6"/>
    </row>
    <row r="72" spans="2:23" ht="45" x14ac:dyDescent="0.25">
      <c r="C72" s="484" t="s">
        <v>220</v>
      </c>
      <c r="D72" s="86" t="s">
        <v>221</v>
      </c>
      <c r="E72" s="87">
        <f t="shared" si="0"/>
        <v>13.845065722952473</v>
      </c>
      <c r="F72" s="88" t="s">
        <v>91</v>
      </c>
      <c r="G72" s="89" t="s">
        <v>92</v>
      </c>
      <c r="H72" s="68" t="s">
        <v>27</v>
      </c>
      <c r="I72" s="90">
        <v>0</v>
      </c>
      <c r="J72" s="90">
        <v>6.0629423660262889</v>
      </c>
      <c r="K72" s="90">
        <v>0</v>
      </c>
      <c r="L72" s="90">
        <v>7.782123356926185</v>
      </c>
      <c r="M72" s="90">
        <v>0</v>
      </c>
      <c r="N72" s="65"/>
      <c r="O72" s="84"/>
      <c r="W72" t="s">
        <v>222</v>
      </c>
    </row>
    <row r="73" spans="2:23" x14ac:dyDescent="0.25">
      <c r="C73" s="484"/>
      <c r="D73" s="86" t="s">
        <v>223</v>
      </c>
      <c r="E73" s="87">
        <f t="shared" si="0"/>
        <v>0.52060465116279064</v>
      </c>
      <c r="F73" s="66" t="s">
        <v>91</v>
      </c>
      <c r="G73" s="67" t="s">
        <v>92</v>
      </c>
      <c r="H73" s="68" t="s">
        <v>28</v>
      </c>
      <c r="I73" s="83">
        <v>0</v>
      </c>
      <c r="J73" s="83">
        <v>0</v>
      </c>
      <c r="K73" s="83">
        <v>0</v>
      </c>
      <c r="L73" s="83">
        <v>0.52060465116279064</v>
      </c>
      <c r="M73" s="83">
        <v>0</v>
      </c>
      <c r="N73" s="65"/>
      <c r="O73" s="84"/>
      <c r="W73" t="s">
        <v>224</v>
      </c>
    </row>
    <row r="74" spans="2:23" ht="30" x14ac:dyDescent="0.25">
      <c r="C74" s="484"/>
      <c r="D74" s="91" t="s">
        <v>225</v>
      </c>
      <c r="E74" s="87">
        <f t="shared" si="0"/>
        <v>3.0702704609462703</v>
      </c>
      <c r="F74" s="88" t="s">
        <v>91</v>
      </c>
      <c r="G74" s="89" t="s">
        <v>92</v>
      </c>
      <c r="H74" s="92" t="s">
        <v>28</v>
      </c>
      <c r="I74" s="90">
        <v>0</v>
      </c>
      <c r="J74" s="90">
        <v>0.14959903769045707</v>
      </c>
      <c r="K74" s="90">
        <v>0</v>
      </c>
      <c r="L74" s="90">
        <v>2.9206714232558131</v>
      </c>
      <c r="M74" s="90">
        <v>0</v>
      </c>
      <c r="N74" s="93"/>
      <c r="O74" s="84"/>
      <c r="W74" t="s">
        <v>226</v>
      </c>
    </row>
    <row r="75" spans="2:23" x14ac:dyDescent="0.25">
      <c r="C75" s="484"/>
      <c r="D75" s="91" t="s">
        <v>227</v>
      </c>
      <c r="E75" s="87">
        <f t="shared" si="0"/>
        <v>36.225162831858405</v>
      </c>
      <c r="F75" s="88" t="s">
        <v>91</v>
      </c>
      <c r="G75" s="89" t="s">
        <v>92</v>
      </c>
      <c r="H75" s="92" t="s">
        <v>27</v>
      </c>
      <c r="I75" s="94">
        <v>11.725162831858405</v>
      </c>
      <c r="J75" s="94">
        <v>3</v>
      </c>
      <c r="K75" s="94">
        <v>1.5</v>
      </c>
      <c r="L75" s="94">
        <v>20</v>
      </c>
      <c r="M75" s="94">
        <v>0</v>
      </c>
      <c r="N75" s="93"/>
      <c r="O75" s="84"/>
      <c r="W75" t="s">
        <v>228</v>
      </c>
    </row>
    <row r="76" spans="2:23" x14ac:dyDescent="0.25">
      <c r="C76" s="484"/>
      <c r="D76" s="91" t="s">
        <v>229</v>
      </c>
      <c r="E76" s="87">
        <f t="shared" si="0"/>
        <v>62.716765012148542</v>
      </c>
      <c r="F76" s="88" t="s">
        <v>91</v>
      </c>
      <c r="G76" s="89" t="s">
        <v>92</v>
      </c>
      <c r="H76" s="92" t="s">
        <v>27</v>
      </c>
      <c r="I76" s="94">
        <v>21.323700104130506</v>
      </c>
      <c r="J76" s="94">
        <v>6.8988441513363394</v>
      </c>
      <c r="K76" s="94">
        <v>4.3901735508503981</v>
      </c>
      <c r="L76" s="94">
        <v>23.832370704616444</v>
      </c>
      <c r="M76" s="94">
        <v>6.2716765012148539</v>
      </c>
      <c r="N76" s="93"/>
      <c r="O76" s="84"/>
      <c r="W76" t="s">
        <v>230</v>
      </c>
    </row>
    <row r="77" spans="2:23" x14ac:dyDescent="0.25">
      <c r="C77" s="484"/>
      <c r="D77" s="65" t="s">
        <v>231</v>
      </c>
      <c r="E77" s="69">
        <f t="shared" si="0"/>
        <v>12.350725581395347</v>
      </c>
      <c r="F77" s="66" t="s">
        <v>91</v>
      </c>
      <c r="G77" s="67" t="s">
        <v>97</v>
      </c>
      <c r="H77" s="68" t="s">
        <v>96</v>
      </c>
      <c r="I77" s="69">
        <v>12.350725581395347</v>
      </c>
      <c r="J77" s="83">
        <v>0</v>
      </c>
      <c r="K77" s="83">
        <v>0</v>
      </c>
      <c r="L77" s="83">
        <v>0</v>
      </c>
      <c r="M77" s="83">
        <v>0</v>
      </c>
      <c r="N77" s="65"/>
      <c r="O77" s="84"/>
    </row>
    <row r="78" spans="2:23" x14ac:dyDescent="0.25">
      <c r="C78" s="484"/>
      <c r="D78" s="95" t="s">
        <v>232</v>
      </c>
      <c r="E78" s="69">
        <f>SUM(I78:M78)</f>
        <v>8.3465320930232547</v>
      </c>
      <c r="F78" s="66" t="s">
        <v>91</v>
      </c>
      <c r="G78" s="67" t="s">
        <v>97</v>
      </c>
      <c r="H78" s="68" t="s">
        <v>96</v>
      </c>
      <c r="I78" s="69">
        <v>8.3465320930232547</v>
      </c>
      <c r="J78" s="83">
        <v>0</v>
      </c>
      <c r="K78" s="83">
        <v>0</v>
      </c>
      <c r="L78" s="83">
        <v>0</v>
      </c>
      <c r="M78" s="83">
        <v>0</v>
      </c>
      <c r="N78" s="65"/>
      <c r="O78" s="84"/>
    </row>
    <row r="80" spans="2:23" x14ac:dyDescent="0.25">
      <c r="B80" s="3" t="s">
        <v>233</v>
      </c>
      <c r="E80" s="96"/>
      <c r="F80" s="97"/>
      <c r="G80" s="98"/>
      <c r="H80" s="98"/>
      <c r="I80" s="96"/>
      <c r="J80" s="96"/>
      <c r="K80" s="97"/>
      <c r="L80" s="96"/>
    </row>
    <row r="81" spans="2:15" ht="14.45" customHeight="1" x14ac:dyDescent="0.25">
      <c r="C81" s="13"/>
      <c r="D81" s="13"/>
      <c r="E81" s="62" t="s">
        <v>115</v>
      </c>
      <c r="F81" s="13"/>
      <c r="G81" s="12"/>
      <c r="H81" s="12"/>
      <c r="I81" s="13"/>
      <c r="J81" s="78"/>
      <c r="K81" s="470" t="s">
        <v>23</v>
      </c>
      <c r="L81" s="470" t="s">
        <v>24</v>
      </c>
      <c r="M81" s="79"/>
      <c r="N81" s="80"/>
    </row>
    <row r="82" spans="2:15" x14ac:dyDescent="0.25">
      <c r="C82" s="63" t="s">
        <v>117</v>
      </c>
      <c r="D82" s="63" t="s">
        <v>118</v>
      </c>
      <c r="E82" s="64" t="s">
        <v>119</v>
      </c>
      <c r="F82" s="63" t="s">
        <v>120</v>
      </c>
      <c r="G82" s="63" t="s">
        <v>5</v>
      </c>
      <c r="H82" s="63" t="s">
        <v>20</v>
      </c>
      <c r="I82" s="63" t="s">
        <v>21</v>
      </c>
      <c r="J82" s="64" t="s">
        <v>72</v>
      </c>
      <c r="K82" s="470"/>
      <c r="L82" s="470"/>
      <c r="M82" s="82" t="s">
        <v>25</v>
      </c>
      <c r="N82" s="99"/>
    </row>
    <row r="83" spans="2:15" x14ac:dyDescent="0.25">
      <c r="C83" s="476" t="s">
        <v>234</v>
      </c>
      <c r="D83" s="100" t="s">
        <v>235</v>
      </c>
      <c r="E83" s="69">
        <f>SUM(I83:M83)</f>
        <v>2.4398451616262502</v>
      </c>
      <c r="F83" s="66" t="s">
        <v>91</v>
      </c>
      <c r="G83" s="67" t="s">
        <v>92</v>
      </c>
      <c r="H83" s="68" t="s">
        <v>28</v>
      </c>
      <c r="I83" s="69">
        <v>0.71413154469158702</v>
      </c>
      <c r="J83" s="69">
        <v>0.3575228334887508</v>
      </c>
      <c r="K83" s="83">
        <v>0</v>
      </c>
      <c r="L83" s="69">
        <v>1.3681907834459122</v>
      </c>
      <c r="M83" s="69">
        <v>0</v>
      </c>
      <c r="N83" s="65"/>
      <c r="O83" s="84"/>
    </row>
    <row r="84" spans="2:15" x14ac:dyDescent="0.25">
      <c r="C84" s="477"/>
      <c r="D84" s="95" t="s">
        <v>236</v>
      </c>
      <c r="E84" s="83">
        <f t="shared" ref="E84:E86" si="1">SUM(I84:M84)</f>
        <v>1.2199225808131251</v>
      </c>
      <c r="F84" s="66" t="s">
        <v>91</v>
      </c>
      <c r="G84" s="67" t="s">
        <v>92</v>
      </c>
      <c r="H84" s="68" t="s">
        <v>28</v>
      </c>
      <c r="I84" s="69">
        <v>0.35706577234579351</v>
      </c>
      <c r="J84" s="69">
        <v>0.1787614167443754</v>
      </c>
      <c r="K84" s="83">
        <v>0</v>
      </c>
      <c r="L84" s="69">
        <v>0.68409539172295608</v>
      </c>
      <c r="M84" s="69">
        <v>0</v>
      </c>
      <c r="N84" s="65"/>
      <c r="O84" s="84"/>
    </row>
    <row r="85" spans="2:15" x14ac:dyDescent="0.25">
      <c r="C85" s="476" t="s">
        <v>237</v>
      </c>
      <c r="D85" s="65" t="s">
        <v>238</v>
      </c>
      <c r="E85" s="69">
        <f t="shared" si="1"/>
        <v>0.29447513812154696</v>
      </c>
      <c r="F85" s="66" t="s">
        <v>91</v>
      </c>
      <c r="G85" s="67" t="s">
        <v>92</v>
      </c>
      <c r="H85" s="68" t="s">
        <v>28</v>
      </c>
      <c r="I85" s="69">
        <v>0</v>
      </c>
      <c r="J85" s="69">
        <v>0.29447513812154696</v>
      </c>
      <c r="K85" s="69">
        <v>0</v>
      </c>
      <c r="L85" s="69">
        <v>0</v>
      </c>
      <c r="M85" s="69">
        <v>0</v>
      </c>
      <c r="N85" s="65"/>
    </row>
    <row r="86" spans="2:15" x14ac:dyDescent="0.25">
      <c r="C86" s="478"/>
      <c r="D86" s="65" t="s">
        <v>239</v>
      </c>
      <c r="E86" s="69">
        <f t="shared" si="1"/>
        <v>9.8158379373848987</v>
      </c>
      <c r="F86" s="66" t="s">
        <v>91</v>
      </c>
      <c r="G86" s="67" t="s">
        <v>92</v>
      </c>
      <c r="H86" s="68" t="s">
        <v>28</v>
      </c>
      <c r="I86" s="69">
        <v>0</v>
      </c>
      <c r="J86" s="69">
        <v>9.8158379373848987</v>
      </c>
      <c r="K86" s="69">
        <v>0</v>
      </c>
      <c r="L86" s="69">
        <v>0</v>
      </c>
      <c r="M86" s="69">
        <v>0</v>
      </c>
      <c r="N86" s="65"/>
    </row>
    <row r="87" spans="2:15" x14ac:dyDescent="0.25">
      <c r="C87" s="478"/>
      <c r="D87" s="65" t="s">
        <v>240</v>
      </c>
      <c r="E87" s="69">
        <f>SUM(I87:M87)</f>
        <v>20.858655616942912</v>
      </c>
      <c r="F87" s="66" t="s">
        <v>91</v>
      </c>
      <c r="G87" s="67" t="s">
        <v>92</v>
      </c>
      <c r="H87" s="68" t="s">
        <v>28</v>
      </c>
      <c r="I87" s="69">
        <v>4.9079189686924494</v>
      </c>
      <c r="J87" s="69">
        <v>0</v>
      </c>
      <c r="K87" s="69">
        <v>0</v>
      </c>
      <c r="L87" s="69">
        <v>15.95073664825046</v>
      </c>
      <c r="M87" s="69">
        <v>0</v>
      </c>
      <c r="N87" s="65"/>
    </row>
    <row r="88" spans="2:15" x14ac:dyDescent="0.25">
      <c r="C88" s="477"/>
      <c r="D88" s="65" t="s">
        <v>241</v>
      </c>
      <c r="E88" s="69">
        <f>SUM(I88:M88)</f>
        <v>0.50583473082974761</v>
      </c>
      <c r="F88" s="66" t="s">
        <v>91</v>
      </c>
      <c r="G88" s="67" t="s">
        <v>92</v>
      </c>
      <c r="H88" s="68" t="s">
        <v>28</v>
      </c>
      <c r="I88" s="74">
        <v>4.7168141592920348E-2</v>
      </c>
      <c r="J88" s="69">
        <v>0</v>
      </c>
      <c r="K88" s="69">
        <v>0</v>
      </c>
      <c r="L88" s="69">
        <v>0.45866658923682724</v>
      </c>
      <c r="M88" s="69">
        <v>0</v>
      </c>
      <c r="N88" s="65" t="s">
        <v>242</v>
      </c>
    </row>
    <row r="89" spans="2:15" x14ac:dyDescent="0.25">
      <c r="C89" s="101" t="s">
        <v>25</v>
      </c>
      <c r="D89" s="65" t="s">
        <v>243</v>
      </c>
      <c r="E89" s="69">
        <f>SUM(I89:M89)</f>
        <v>65.766114180478823</v>
      </c>
      <c r="F89" s="66" t="s">
        <v>91</v>
      </c>
      <c r="G89" s="67" t="s">
        <v>92</v>
      </c>
      <c r="H89" s="68" t="s">
        <v>27</v>
      </c>
      <c r="I89" s="69">
        <v>29.447513812154696</v>
      </c>
      <c r="J89" s="69">
        <v>0</v>
      </c>
      <c r="K89" s="69">
        <v>0</v>
      </c>
      <c r="L89" s="69">
        <v>36.318600368324127</v>
      </c>
      <c r="M89" s="69">
        <v>0</v>
      </c>
      <c r="N89" s="65"/>
    </row>
    <row r="91" spans="2:15" x14ac:dyDescent="0.25">
      <c r="B91" s="3" t="s">
        <v>244</v>
      </c>
    </row>
    <row r="92" spans="2:15" ht="14.45" customHeight="1" x14ac:dyDescent="0.25">
      <c r="C92" s="13"/>
      <c r="D92" s="13"/>
      <c r="E92" s="62" t="s">
        <v>115</v>
      </c>
      <c r="F92" s="13"/>
      <c r="G92" s="12"/>
      <c r="H92" s="12"/>
      <c r="I92" s="13"/>
      <c r="J92" s="78"/>
      <c r="K92" s="470" t="s">
        <v>23</v>
      </c>
      <c r="L92" s="470" t="s">
        <v>24</v>
      </c>
      <c r="M92" s="79"/>
      <c r="N92" s="80"/>
    </row>
    <row r="93" spans="2:15" x14ac:dyDescent="0.25">
      <c r="C93" s="63" t="s">
        <v>117</v>
      </c>
      <c r="D93" s="63" t="s">
        <v>118</v>
      </c>
      <c r="E93" s="64" t="s">
        <v>119</v>
      </c>
      <c r="F93" s="63" t="s">
        <v>120</v>
      </c>
      <c r="G93" s="63" t="s">
        <v>5</v>
      </c>
      <c r="H93" s="63" t="s">
        <v>20</v>
      </c>
      <c r="I93" s="63" t="s">
        <v>21</v>
      </c>
      <c r="J93" s="64" t="s">
        <v>72</v>
      </c>
      <c r="K93" s="470"/>
      <c r="L93" s="470"/>
      <c r="M93" s="82" t="s">
        <v>25</v>
      </c>
      <c r="N93" s="99"/>
    </row>
    <row r="94" spans="2:15" x14ac:dyDescent="0.25">
      <c r="C94" s="65" t="s">
        <v>245</v>
      </c>
      <c r="D94" s="65" t="s">
        <v>246</v>
      </c>
      <c r="E94" s="83">
        <f>SUM(I94:M94)</f>
        <v>50.998181121378813</v>
      </c>
      <c r="F94" s="66" t="s">
        <v>91</v>
      </c>
      <c r="G94" s="67" t="s">
        <v>92</v>
      </c>
      <c r="H94" s="68" t="s">
        <v>28</v>
      </c>
      <c r="I94" s="69">
        <v>14.150442477876103</v>
      </c>
      <c r="J94" s="69">
        <v>2.2999285577455097</v>
      </c>
      <c r="K94" s="69">
        <v>4.403199256673541</v>
      </c>
      <c r="L94" s="69">
        <v>30.144610829083657</v>
      </c>
      <c r="M94" s="69">
        <v>0</v>
      </c>
      <c r="N94" s="65"/>
    </row>
    <row r="95" spans="2:15" x14ac:dyDescent="0.25">
      <c r="C95" s="65" t="s">
        <v>247</v>
      </c>
      <c r="D95" s="65" t="s">
        <v>248</v>
      </c>
      <c r="E95" s="83">
        <f t="shared" ref="E95:E97" si="2">SUM(I95:M95)</f>
        <v>62.716765012148542</v>
      </c>
      <c r="F95" s="66" t="s">
        <v>91</v>
      </c>
      <c r="G95" s="67" t="s">
        <v>92</v>
      </c>
      <c r="H95" s="68" t="s">
        <v>28</v>
      </c>
      <c r="I95" s="83">
        <v>21.323700104130506</v>
      </c>
      <c r="J95" s="83">
        <v>6.8988441513363394</v>
      </c>
      <c r="K95" s="83">
        <v>4.3901735508503981</v>
      </c>
      <c r="L95" s="83">
        <v>23.832370704616444</v>
      </c>
      <c r="M95" s="83">
        <v>6.2716765012148539</v>
      </c>
      <c r="N95" s="65"/>
    </row>
    <row r="96" spans="2:15" x14ac:dyDescent="0.25">
      <c r="C96" s="65" t="s">
        <v>249</v>
      </c>
      <c r="D96" s="65" t="s">
        <v>250</v>
      </c>
      <c r="E96" s="83">
        <f t="shared" si="2"/>
        <v>46.582464651162795</v>
      </c>
      <c r="F96" s="66" t="s">
        <v>91</v>
      </c>
      <c r="G96" s="67" t="s">
        <v>92</v>
      </c>
      <c r="H96" s="68" t="s">
        <v>28</v>
      </c>
      <c r="I96" s="83">
        <v>14.297621705426357</v>
      </c>
      <c r="J96" s="69">
        <v>21.812963023255811</v>
      </c>
      <c r="K96" s="69">
        <v>0</v>
      </c>
      <c r="L96" s="69">
        <v>10.471879922480621</v>
      </c>
      <c r="M96" s="83">
        <v>0</v>
      </c>
      <c r="N96" s="65"/>
    </row>
    <row r="97" spans="2:23" x14ac:dyDescent="0.25">
      <c r="C97" s="65" t="s">
        <v>251</v>
      </c>
      <c r="D97" s="65" t="s">
        <v>252</v>
      </c>
      <c r="E97" s="83">
        <f t="shared" si="2"/>
        <v>337.0941791069767</v>
      </c>
      <c r="F97" s="66" t="s">
        <v>91</v>
      </c>
      <c r="G97" s="67" t="s">
        <v>92</v>
      </c>
      <c r="H97" s="68" t="s">
        <v>28</v>
      </c>
      <c r="I97" s="83">
        <v>182.28643631627907</v>
      </c>
      <c r="J97" s="69">
        <v>33.832484883720923</v>
      </c>
      <c r="K97" s="69">
        <v>0</v>
      </c>
      <c r="L97" s="69">
        <v>120.97525790697672</v>
      </c>
      <c r="M97" s="83">
        <v>0</v>
      </c>
      <c r="N97" s="65"/>
    </row>
    <row r="98" spans="2:23" x14ac:dyDescent="0.25">
      <c r="F98" s="102"/>
    </row>
    <row r="100" spans="2:23" x14ac:dyDescent="0.25">
      <c r="B100" s="3" t="s">
        <v>253</v>
      </c>
      <c r="E100" s="25"/>
      <c r="I100" s="103"/>
    </row>
    <row r="101" spans="2:23" ht="14.45" customHeight="1" x14ac:dyDescent="0.25">
      <c r="C101" s="13"/>
      <c r="D101" s="13"/>
      <c r="E101" s="62" t="s">
        <v>115</v>
      </c>
      <c r="F101" s="13"/>
      <c r="G101" s="12"/>
      <c r="H101" s="12"/>
      <c r="I101" s="13"/>
      <c r="J101" s="78"/>
      <c r="K101" s="470" t="s">
        <v>23</v>
      </c>
      <c r="L101" s="470" t="s">
        <v>24</v>
      </c>
      <c r="M101" s="79"/>
      <c r="N101" s="80"/>
    </row>
    <row r="102" spans="2:23" x14ac:dyDescent="0.25">
      <c r="C102" s="63" t="s">
        <v>117</v>
      </c>
      <c r="D102" s="63" t="s">
        <v>118</v>
      </c>
      <c r="E102" s="64" t="s">
        <v>119</v>
      </c>
      <c r="F102" s="63" t="s">
        <v>120</v>
      </c>
      <c r="G102" s="63" t="s">
        <v>5</v>
      </c>
      <c r="H102" s="63" t="s">
        <v>20</v>
      </c>
      <c r="I102" s="63" t="s">
        <v>21</v>
      </c>
      <c r="J102" s="64" t="s">
        <v>72</v>
      </c>
      <c r="K102" s="470"/>
      <c r="L102" s="470"/>
      <c r="M102" s="82" t="s">
        <v>25</v>
      </c>
      <c r="N102" s="99"/>
    </row>
    <row r="103" spans="2:23" ht="45" x14ac:dyDescent="0.25">
      <c r="C103" s="471" t="s">
        <v>254</v>
      </c>
      <c r="D103" s="86" t="s">
        <v>255</v>
      </c>
      <c r="E103" s="94">
        <f>SUM(I103:M103)</f>
        <v>0</v>
      </c>
      <c r="F103" s="88" t="s">
        <v>91</v>
      </c>
      <c r="G103" s="89" t="s">
        <v>92</v>
      </c>
      <c r="H103" s="92" t="s">
        <v>27</v>
      </c>
      <c r="I103" s="104"/>
      <c r="J103" s="104"/>
      <c r="K103" s="104"/>
      <c r="L103" s="104"/>
      <c r="M103" s="104"/>
      <c r="N103" s="65" t="s">
        <v>256</v>
      </c>
    </row>
    <row r="104" spans="2:23" x14ac:dyDescent="0.25">
      <c r="C104" s="471"/>
      <c r="D104" s="86" t="s">
        <v>257</v>
      </c>
      <c r="E104" s="94">
        <f t="shared" ref="E104:E106" si="3">SUM(I104:M104)</f>
        <v>0</v>
      </c>
      <c r="F104" s="88" t="s">
        <v>91</v>
      </c>
      <c r="G104" s="89" t="s">
        <v>92</v>
      </c>
      <c r="H104" s="92" t="s">
        <v>27</v>
      </c>
      <c r="I104" s="104"/>
      <c r="J104" s="104"/>
      <c r="K104" s="104"/>
      <c r="L104" s="104"/>
      <c r="M104" s="104"/>
      <c r="N104" s="65" t="s">
        <v>256</v>
      </c>
    </row>
    <row r="105" spans="2:23" x14ac:dyDescent="0.25">
      <c r="C105" s="471"/>
      <c r="D105" s="86" t="s">
        <v>258</v>
      </c>
      <c r="E105" s="94">
        <f t="shared" si="3"/>
        <v>0</v>
      </c>
      <c r="F105" s="88" t="s">
        <v>91</v>
      </c>
      <c r="G105" s="89" t="s">
        <v>92</v>
      </c>
      <c r="H105" s="92" t="s">
        <v>27</v>
      </c>
      <c r="I105" s="104"/>
      <c r="J105" s="104"/>
      <c r="K105" s="104"/>
      <c r="L105" s="104"/>
      <c r="M105" s="104"/>
      <c r="N105" s="65" t="s">
        <v>256</v>
      </c>
    </row>
    <row r="106" spans="2:23" x14ac:dyDescent="0.25">
      <c r="C106" s="471"/>
      <c r="D106" s="86" t="s">
        <v>259</v>
      </c>
      <c r="E106" s="94">
        <f t="shared" si="3"/>
        <v>89.424413325146105</v>
      </c>
      <c r="F106" s="88" t="s">
        <v>91</v>
      </c>
      <c r="G106" s="89" t="s">
        <v>92</v>
      </c>
      <c r="H106" s="92" t="s">
        <v>28</v>
      </c>
      <c r="I106" s="94">
        <v>30.885851347412974</v>
      </c>
      <c r="J106" s="94">
        <v>9.7380492672560433</v>
      </c>
      <c r="K106" s="94">
        <v>6.2099623918519153</v>
      </c>
      <c r="L106" s="94">
        <v>33.533796916000327</v>
      </c>
      <c r="M106" s="94">
        <v>9.0567534026248566</v>
      </c>
      <c r="N106" s="105"/>
      <c r="W106" t="s">
        <v>260</v>
      </c>
    </row>
    <row r="107" spans="2:23" x14ac:dyDescent="0.25">
      <c r="I107" s="22"/>
      <c r="J107" s="22"/>
      <c r="K107" s="22"/>
      <c r="L107" s="22"/>
      <c r="M107" s="22"/>
    </row>
    <row r="108" spans="2:23" ht="14.45" customHeight="1" x14ac:dyDescent="0.25">
      <c r="B108" s="3" t="s">
        <v>261</v>
      </c>
    </row>
    <row r="109" spans="2:23" ht="14.45" customHeight="1" x14ac:dyDescent="0.25">
      <c r="C109" s="13"/>
      <c r="D109" s="13"/>
      <c r="E109" s="62" t="s">
        <v>115</v>
      </c>
      <c r="F109" s="13"/>
      <c r="G109" s="12"/>
      <c r="H109" s="12"/>
      <c r="I109" s="13"/>
      <c r="J109" s="78"/>
      <c r="K109" s="470" t="s">
        <v>23</v>
      </c>
      <c r="L109" s="470" t="s">
        <v>24</v>
      </c>
      <c r="M109" s="79"/>
      <c r="N109" s="80"/>
    </row>
    <row r="110" spans="2:23" x14ac:dyDescent="0.25">
      <c r="C110" s="63" t="s">
        <v>117</v>
      </c>
      <c r="D110" s="63" t="s">
        <v>118</v>
      </c>
      <c r="E110" s="64" t="s">
        <v>119</v>
      </c>
      <c r="F110" s="63" t="s">
        <v>120</v>
      </c>
      <c r="G110" s="63" t="s">
        <v>5</v>
      </c>
      <c r="H110" s="63" t="s">
        <v>20</v>
      </c>
      <c r="I110" s="63" t="s">
        <v>21</v>
      </c>
      <c r="J110" s="64" t="s">
        <v>72</v>
      </c>
      <c r="K110" s="470"/>
      <c r="L110" s="470"/>
      <c r="M110" s="82" t="s">
        <v>25</v>
      </c>
      <c r="N110" s="99"/>
    </row>
    <row r="111" spans="2:23" x14ac:dyDescent="0.25">
      <c r="C111" s="471" t="s">
        <v>262</v>
      </c>
      <c r="D111" s="65" t="s">
        <v>263</v>
      </c>
      <c r="E111" s="461"/>
      <c r="F111" s="66" t="s">
        <v>91</v>
      </c>
      <c r="G111" s="67" t="s">
        <v>92</v>
      </c>
      <c r="H111" s="68" t="s">
        <v>28</v>
      </c>
      <c r="I111" s="458"/>
      <c r="J111" s="458"/>
      <c r="K111" s="458"/>
      <c r="L111" s="458"/>
      <c r="M111" s="458"/>
      <c r="N111" s="65"/>
    </row>
    <row r="112" spans="2:23" x14ac:dyDescent="0.25">
      <c r="C112" s="471"/>
      <c r="D112" s="106" t="s">
        <v>264</v>
      </c>
      <c r="E112" s="461"/>
      <c r="F112" s="66" t="s">
        <v>91</v>
      </c>
      <c r="G112" s="67" t="s">
        <v>2</v>
      </c>
      <c r="H112" s="68" t="s">
        <v>28</v>
      </c>
      <c r="I112" s="458"/>
      <c r="J112" s="458"/>
      <c r="K112" s="458"/>
      <c r="L112" s="458"/>
      <c r="M112" s="458"/>
      <c r="N112" s="65"/>
    </row>
    <row r="113" spans="2:14" x14ac:dyDescent="0.25">
      <c r="C113" s="471"/>
      <c r="D113" s="107" t="s">
        <v>265</v>
      </c>
      <c r="E113" s="461"/>
      <c r="F113" s="66" t="s">
        <v>91</v>
      </c>
      <c r="G113" s="67" t="s">
        <v>92</v>
      </c>
      <c r="H113" s="68" t="s">
        <v>28</v>
      </c>
      <c r="I113" s="458"/>
      <c r="J113" s="458"/>
      <c r="K113" s="458"/>
      <c r="L113" s="458"/>
      <c r="M113" s="458"/>
      <c r="N113" s="65"/>
    </row>
    <row r="114" spans="2:14" x14ac:dyDescent="0.25">
      <c r="E114" s="461"/>
      <c r="I114" s="461"/>
      <c r="J114" s="461"/>
      <c r="K114" s="461"/>
      <c r="L114" s="461"/>
      <c r="M114" s="461"/>
    </row>
    <row r="115" spans="2:14" x14ac:dyDescent="0.25">
      <c r="B115" s="3" t="s">
        <v>266</v>
      </c>
    </row>
    <row r="116" spans="2:14" ht="14.45" customHeight="1" x14ac:dyDescent="0.25">
      <c r="C116" s="13"/>
      <c r="D116" s="13"/>
      <c r="E116" s="62" t="s">
        <v>115</v>
      </c>
      <c r="F116" s="13"/>
      <c r="G116" s="12"/>
      <c r="H116" s="12"/>
      <c r="I116" s="13"/>
      <c r="J116" s="78"/>
      <c r="K116" s="470" t="s">
        <v>23</v>
      </c>
      <c r="L116" s="470" t="s">
        <v>24</v>
      </c>
      <c r="M116" s="79"/>
      <c r="N116" s="80"/>
    </row>
    <row r="117" spans="2:14" x14ac:dyDescent="0.25">
      <c r="C117" s="63" t="s">
        <v>117</v>
      </c>
      <c r="D117" s="63" t="s">
        <v>118</v>
      </c>
      <c r="E117" s="64" t="s">
        <v>119</v>
      </c>
      <c r="F117" s="63" t="s">
        <v>120</v>
      </c>
      <c r="G117" s="63" t="s">
        <v>5</v>
      </c>
      <c r="H117" s="63" t="s">
        <v>20</v>
      </c>
      <c r="I117" s="63" t="s">
        <v>21</v>
      </c>
      <c r="J117" s="64" t="s">
        <v>72</v>
      </c>
      <c r="K117" s="470"/>
      <c r="L117" s="470"/>
      <c r="M117" s="82" t="s">
        <v>25</v>
      </c>
      <c r="N117" s="99"/>
    </row>
    <row r="118" spans="2:14" ht="75" x14ac:dyDescent="0.25">
      <c r="C118" s="65" t="s">
        <v>267</v>
      </c>
      <c r="D118" s="86" t="s">
        <v>268</v>
      </c>
      <c r="E118" s="83">
        <f t="shared" ref="E118:E121" si="4">SUM(I118:M118)</f>
        <v>15.866046511627905</v>
      </c>
      <c r="F118" s="66" t="s">
        <v>91</v>
      </c>
      <c r="G118" s="67" t="s">
        <v>97</v>
      </c>
      <c r="H118" s="68" t="s">
        <v>96</v>
      </c>
      <c r="I118" s="83">
        <v>15.866046511627905</v>
      </c>
      <c r="J118" s="83">
        <v>0</v>
      </c>
      <c r="K118" s="83">
        <v>0</v>
      </c>
      <c r="L118" s="83">
        <v>0</v>
      </c>
      <c r="M118" s="83">
        <v>0</v>
      </c>
      <c r="N118" s="65"/>
    </row>
    <row r="119" spans="2:14" ht="30" x14ac:dyDescent="0.25">
      <c r="C119" s="65" t="s">
        <v>269</v>
      </c>
      <c r="D119" s="86" t="s">
        <v>270</v>
      </c>
      <c r="E119" s="83">
        <f t="shared" si="4"/>
        <v>1.8741767441860462</v>
      </c>
      <c r="F119" s="66" t="s">
        <v>91</v>
      </c>
      <c r="G119" s="67" t="s">
        <v>97</v>
      </c>
      <c r="H119" s="68" t="s">
        <v>96</v>
      </c>
      <c r="I119" s="83">
        <v>1.8741767441860462</v>
      </c>
      <c r="J119" s="83">
        <v>0</v>
      </c>
      <c r="K119" s="83">
        <v>0</v>
      </c>
      <c r="L119" s="83">
        <v>0</v>
      </c>
      <c r="M119" s="83">
        <v>0</v>
      </c>
      <c r="N119" s="65"/>
    </row>
    <row r="120" spans="2:14" ht="30" x14ac:dyDescent="0.25">
      <c r="C120" s="65" t="s">
        <v>271</v>
      </c>
      <c r="D120" s="86" t="s">
        <v>272</v>
      </c>
      <c r="E120" s="83">
        <f t="shared" si="4"/>
        <v>1.0015441860465115</v>
      </c>
      <c r="F120" s="66" t="s">
        <v>91</v>
      </c>
      <c r="G120" s="67" t="s">
        <v>97</v>
      </c>
      <c r="H120" s="68" t="s">
        <v>96</v>
      </c>
      <c r="I120" s="83">
        <v>1.0015441860465115</v>
      </c>
      <c r="J120" s="83">
        <v>0</v>
      </c>
      <c r="K120" s="83">
        <v>0</v>
      </c>
      <c r="L120" s="83">
        <v>0</v>
      </c>
      <c r="M120" s="83">
        <v>0</v>
      </c>
      <c r="N120" s="65"/>
    </row>
    <row r="121" spans="2:14" x14ac:dyDescent="0.25">
      <c r="C121" s="65" t="s">
        <v>273</v>
      </c>
      <c r="D121" s="65" t="s">
        <v>274</v>
      </c>
      <c r="E121" s="83">
        <f t="shared" si="4"/>
        <v>0.2340241860465116</v>
      </c>
      <c r="F121" s="66" t="s">
        <v>94</v>
      </c>
      <c r="G121" s="67" t="s">
        <v>97</v>
      </c>
      <c r="H121" s="68" t="s">
        <v>96</v>
      </c>
      <c r="I121" s="83">
        <v>0.2340241860465116</v>
      </c>
      <c r="J121" s="83">
        <v>0</v>
      </c>
      <c r="K121" s="83">
        <v>0</v>
      </c>
      <c r="L121" s="83">
        <v>0</v>
      </c>
      <c r="M121" s="83">
        <v>0</v>
      </c>
      <c r="N121" s="65"/>
    </row>
    <row r="123" spans="2:14" x14ac:dyDescent="0.25">
      <c r="F123" s="76"/>
    </row>
  </sheetData>
  <mergeCells count="22">
    <mergeCell ref="L92:L93"/>
    <mergeCell ref="M48:O48"/>
    <mergeCell ref="K64:K65"/>
    <mergeCell ref="L64:L65"/>
    <mergeCell ref="C72:C78"/>
    <mergeCell ref="K81:K82"/>
    <mergeCell ref="L81:L82"/>
    <mergeCell ref="C83:C84"/>
    <mergeCell ref="C85:C88"/>
    <mergeCell ref="C66:C67"/>
    <mergeCell ref="D66:D67"/>
    <mergeCell ref="E66:E67"/>
    <mergeCell ref="F66:F67"/>
    <mergeCell ref="K92:K93"/>
    <mergeCell ref="K116:K117"/>
    <mergeCell ref="L116:L117"/>
    <mergeCell ref="K101:K102"/>
    <mergeCell ref="L101:L102"/>
    <mergeCell ref="C103:C106"/>
    <mergeCell ref="K109:K110"/>
    <mergeCell ref="L109:L110"/>
    <mergeCell ref="C111:C113"/>
  </mergeCells>
  <pageMargins left="0.7" right="0.7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Rpt_Cat!$F$3:$F$4</xm:f>
          </x14:formula1>
          <xm:sqref>F50:F60 F118:F121 F111:F113 F103:F106 F94:F97 F83:F89 F66:F78 F7:F45</xm:sqref>
        </x14:dataValidation>
        <x14:dataValidation type="list" allowBlank="1" showInputMessage="1" showErrorMessage="1">
          <x14:formula1>
            <xm:f>Rpt_Cat!$B$3:$B$8</xm:f>
          </x14:formula1>
          <xm:sqref>G103:G106 G50:G60 G66:G78 G83:G89 G94:G97 G118:G121 G111:G113 G7:G45</xm:sqref>
        </x14:dataValidation>
        <x14:dataValidation type="list" allowBlank="1" showInputMessage="1" showErrorMessage="1">
          <x14:formula1>
            <xm:f>Rpt_Cat!$D$3:$D$6</xm:f>
          </x14:formula1>
          <xm:sqref>H103:H106 H83:H89 H66:H78 H50:H60 H94:H97 H118:H121 H111:H113 H7:H45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6"/>
  <sheetViews>
    <sheetView zoomScale="85" zoomScaleNormal="85" workbookViewId="0">
      <selection activeCell="H5" sqref="H5"/>
    </sheetView>
  </sheetViews>
  <sheetFormatPr defaultRowHeight="15" x14ac:dyDescent="0.25"/>
  <cols>
    <col min="1" max="1" width="3.28515625" customWidth="1"/>
    <col min="2" max="2" width="53.140625" customWidth="1"/>
    <col min="3" max="3" width="9.7109375" customWidth="1"/>
    <col min="4" max="5" width="9.5703125" bestFit="1" customWidth="1"/>
    <col min="6" max="6" width="9.28515625" customWidth="1"/>
    <col min="7" max="10" width="9.5703125" bestFit="1" customWidth="1"/>
  </cols>
  <sheetData>
    <row r="1" spans="2:13" x14ac:dyDescent="0.25">
      <c r="B1" s="11" t="s">
        <v>41</v>
      </c>
    </row>
    <row r="2" spans="2:13" x14ac:dyDescent="0.25">
      <c r="B2" s="108" t="s">
        <v>336</v>
      </c>
    </row>
    <row r="3" spans="2:13" x14ac:dyDescent="0.25">
      <c r="B3" s="25" t="s">
        <v>42</v>
      </c>
      <c r="C3" s="2" t="s">
        <v>43</v>
      </c>
      <c r="D3" s="2" t="s">
        <v>44</v>
      </c>
      <c r="E3" s="2" t="s">
        <v>44</v>
      </c>
      <c r="F3" s="2" t="s">
        <v>44</v>
      </c>
      <c r="G3" s="2" t="s">
        <v>44</v>
      </c>
      <c r="H3" s="2" t="s">
        <v>45</v>
      </c>
      <c r="I3" s="2" t="s">
        <v>45</v>
      </c>
      <c r="J3" s="2" t="s">
        <v>45</v>
      </c>
      <c r="K3" s="2" t="s">
        <v>45</v>
      </c>
      <c r="L3" s="2" t="s">
        <v>45</v>
      </c>
      <c r="M3" s="2" t="s">
        <v>45</v>
      </c>
    </row>
    <row r="4" spans="2:13" x14ac:dyDescent="0.25">
      <c r="C4" s="2">
        <v>2015</v>
      </c>
      <c r="D4" s="2">
        <v>2016</v>
      </c>
      <c r="E4" s="2">
        <v>2017</v>
      </c>
      <c r="F4" s="2">
        <v>2018</v>
      </c>
      <c r="G4" s="2">
        <v>2019</v>
      </c>
      <c r="H4" s="2">
        <v>2020</v>
      </c>
      <c r="I4" s="2">
        <v>2021</v>
      </c>
      <c r="J4" s="2">
        <v>2022</v>
      </c>
      <c r="K4" s="2">
        <v>2023</v>
      </c>
      <c r="L4" s="2">
        <v>2024</v>
      </c>
      <c r="M4" s="2">
        <v>2025</v>
      </c>
    </row>
    <row r="5" spans="2:13" x14ac:dyDescent="0.25">
      <c r="B5" t="s">
        <v>46</v>
      </c>
      <c r="C5" s="26">
        <f>(106.4/104)-1</f>
        <v>2.3076923076923217E-2</v>
      </c>
      <c r="D5" s="27">
        <v>1.5108593012275628E-2</v>
      </c>
      <c r="E5" s="27">
        <v>1.0232558139534831E-2</v>
      </c>
      <c r="F5" s="27">
        <v>1.9337016574585641E-2</v>
      </c>
      <c r="G5" s="28">
        <v>2.0776874435411097E-2</v>
      </c>
      <c r="H5" s="28">
        <v>2.2499999999999999E-2</v>
      </c>
      <c r="I5" s="28">
        <v>2.4500000000000001E-2</v>
      </c>
      <c r="J5" s="28">
        <v>2.4500000000000001E-2</v>
      </c>
      <c r="K5" s="28">
        <v>2.4500000000000001E-2</v>
      </c>
      <c r="L5" s="28">
        <v>2.4500000000000001E-2</v>
      </c>
      <c r="M5" s="28">
        <v>2.4500000000000001E-2</v>
      </c>
    </row>
    <row r="6" spans="2:13" x14ac:dyDescent="0.25">
      <c r="B6" t="s">
        <v>47</v>
      </c>
      <c r="D6" s="27">
        <v>2.34949725108347E-2</v>
      </c>
      <c r="E6" s="27">
        <v>2.34949725108347E-2</v>
      </c>
      <c r="F6" s="27">
        <v>2.34949725108347E-2</v>
      </c>
      <c r="G6" s="27">
        <v>2.34949725108347E-2</v>
      </c>
      <c r="H6" s="27">
        <v>2.34949725108347E-2</v>
      </c>
      <c r="I6" s="27">
        <v>2.34949725108347E-2</v>
      </c>
      <c r="J6" s="27">
        <v>2.34949725108347E-2</v>
      </c>
      <c r="K6" s="27">
        <v>2.34949725108347E-2</v>
      </c>
      <c r="L6" s="27">
        <v>2.34949725108347E-2</v>
      </c>
      <c r="M6" s="27">
        <v>2.34949725108347E-2</v>
      </c>
    </row>
    <row r="7" spans="2:13" x14ac:dyDescent="0.25">
      <c r="B7" s="29" t="s">
        <v>48</v>
      </c>
      <c r="C7" s="30">
        <f>1+C5</f>
        <v>1.0230769230769232</v>
      </c>
      <c r="D7" s="30">
        <f>C7*(1+D5)</f>
        <v>1.0385341759279436</v>
      </c>
      <c r="E7" s="30">
        <f>D7*(1+E5)</f>
        <v>1.0491610372630202</v>
      </c>
      <c r="F7" s="30">
        <f>E7*(1+F5)</f>
        <v>1.0694486816299846</v>
      </c>
      <c r="G7" s="30">
        <f>F7*(1+G5)</f>
        <v>1.0916684826033267</v>
      </c>
      <c r="H7" s="31"/>
      <c r="I7" s="31"/>
      <c r="J7" s="31"/>
      <c r="K7" s="31"/>
    </row>
    <row r="8" spans="2:13" x14ac:dyDescent="0.25">
      <c r="B8" s="29" t="s">
        <v>49</v>
      </c>
      <c r="C8" s="30">
        <v>1</v>
      </c>
      <c r="D8" s="30">
        <f t="shared" ref="D8:M9" si="0">C8*(1+D5)</f>
        <v>1.0151085930122756</v>
      </c>
      <c r="E8" s="30">
        <f t="shared" si="0"/>
        <v>1.0254957507082152</v>
      </c>
      <c r="F8" s="30">
        <f t="shared" si="0"/>
        <v>1.0453257790368271</v>
      </c>
      <c r="G8" s="30">
        <f t="shared" si="0"/>
        <v>1.0670443814919734</v>
      </c>
      <c r="H8" s="31"/>
      <c r="I8" s="31"/>
      <c r="J8" s="31"/>
      <c r="K8" s="31"/>
    </row>
    <row r="9" spans="2:13" x14ac:dyDescent="0.25">
      <c r="B9" t="s">
        <v>50</v>
      </c>
      <c r="C9" s="31">
        <v>1</v>
      </c>
      <c r="D9" s="31">
        <f t="shared" si="0"/>
        <v>1.0234949725108347</v>
      </c>
      <c r="E9" s="31">
        <f t="shared" si="0"/>
        <v>1.0475419587549542</v>
      </c>
      <c r="F9" s="31">
        <f t="shared" si="0"/>
        <v>1.0721539282798478</v>
      </c>
      <c r="G9" s="31">
        <f t="shared" si="0"/>
        <v>1.0973441553521661</v>
      </c>
      <c r="H9" s="31">
        <f t="shared" si="0"/>
        <v>1.1231262261170902</v>
      </c>
      <c r="I9" s="31">
        <f t="shared" si="0"/>
        <v>1.1495140459259088</v>
      </c>
      <c r="J9" s="31">
        <f t="shared" si="0"/>
        <v>1.1765218468357563</v>
      </c>
      <c r="K9" s="31">
        <f t="shared" si="0"/>
        <v>1.2041641952855588</v>
      </c>
      <c r="L9" s="31">
        <f t="shared" si="0"/>
        <v>1.2324559999523244</v>
      </c>
      <c r="M9" s="31">
        <f t="shared" si="0"/>
        <v>1.2614125197920174</v>
      </c>
    </row>
    <row r="10" spans="2:13" x14ac:dyDescent="0.25">
      <c r="B10" t="s">
        <v>51</v>
      </c>
      <c r="D10" s="31">
        <v>1</v>
      </c>
      <c r="E10" s="31">
        <f t="shared" ref="E10:M10" si="1">D10*(1+E6)</f>
        <v>1.0234949725108347</v>
      </c>
      <c r="F10" s="31">
        <f t="shared" si="1"/>
        <v>1.0475419587549542</v>
      </c>
      <c r="G10" s="31">
        <f t="shared" si="1"/>
        <v>1.0721539282798478</v>
      </c>
      <c r="H10" s="31">
        <f t="shared" si="1"/>
        <v>1.0973441553521661</v>
      </c>
      <c r="I10" s="31">
        <f t="shared" si="1"/>
        <v>1.1231262261170902</v>
      </c>
      <c r="J10" s="31">
        <f t="shared" si="1"/>
        <v>1.1495140459259088</v>
      </c>
      <c r="K10" s="31">
        <f t="shared" si="1"/>
        <v>1.1765218468357563</v>
      </c>
      <c r="L10" s="31">
        <f t="shared" si="1"/>
        <v>1.2041641952855588</v>
      </c>
      <c r="M10" s="31">
        <f t="shared" si="1"/>
        <v>1.2324559999523244</v>
      </c>
    </row>
    <row r="12" spans="2:13" x14ac:dyDescent="0.25">
      <c r="B12" t="s">
        <v>52</v>
      </c>
      <c r="C12" s="31">
        <f>106.6/105.9</f>
        <v>1.0066100094428705</v>
      </c>
      <c r="D12" s="31">
        <f>106.6/107.5</f>
        <v>0.99162790697674408</v>
      </c>
      <c r="E12" s="31">
        <f>106.6/108.6</f>
        <v>0.98158379373848992</v>
      </c>
      <c r="F12" s="31">
        <f>106.6/110.7</f>
        <v>0.96296296296296291</v>
      </c>
      <c r="G12" s="413">
        <f>106.6/113</f>
        <v>0.94336283185840708</v>
      </c>
    </row>
    <row r="13" spans="2:13" x14ac:dyDescent="0.25">
      <c r="B13" s="32" t="s">
        <v>53</v>
      </c>
      <c r="C13" s="31"/>
      <c r="D13" s="31"/>
      <c r="E13" s="31"/>
      <c r="F13" s="31"/>
      <c r="G13" s="31"/>
    </row>
    <row r="14" spans="2:13" x14ac:dyDescent="0.25">
      <c r="G14" s="31"/>
    </row>
    <row r="15" spans="2:13" x14ac:dyDescent="0.25">
      <c r="B15" s="3" t="s">
        <v>54</v>
      </c>
      <c r="C15" s="3"/>
    </row>
    <row r="16" spans="2:13" x14ac:dyDescent="0.25">
      <c r="C16" s="2">
        <v>2015</v>
      </c>
      <c r="D16" s="2"/>
      <c r="E16" s="2"/>
      <c r="F16" s="2"/>
    </row>
    <row r="17" spans="2:10" x14ac:dyDescent="0.25">
      <c r="B17" t="s">
        <v>55</v>
      </c>
      <c r="C17" s="26">
        <v>1.8974612720283446E-2</v>
      </c>
    </row>
    <row r="18" spans="2:10" x14ac:dyDescent="0.25">
      <c r="B18" t="s">
        <v>56</v>
      </c>
      <c r="C18" s="26">
        <v>2.3414596363495743E-3</v>
      </c>
    </row>
    <row r="19" spans="2:10" x14ac:dyDescent="0.25">
      <c r="B19" s="33" t="s">
        <v>57</v>
      </c>
    </row>
    <row r="20" spans="2:10" x14ac:dyDescent="0.25">
      <c r="B20" s="33"/>
    </row>
    <row r="21" spans="2:10" x14ac:dyDescent="0.25">
      <c r="B21" s="3" t="s">
        <v>58</v>
      </c>
      <c r="C21" s="3"/>
    </row>
    <row r="23" spans="2:10" x14ac:dyDescent="0.25">
      <c r="B23" s="34"/>
      <c r="C23" s="34"/>
      <c r="D23" s="485" t="s">
        <v>59</v>
      </c>
      <c r="E23" s="485"/>
      <c r="F23" s="485"/>
      <c r="G23" s="485"/>
      <c r="H23" s="486"/>
      <c r="I23" s="2"/>
      <c r="J23" s="2"/>
    </row>
    <row r="24" spans="2:10" x14ac:dyDescent="0.25">
      <c r="B24" s="34" t="s">
        <v>60</v>
      </c>
      <c r="C24" s="34"/>
      <c r="D24" s="35">
        <v>2016</v>
      </c>
      <c r="E24" s="35">
        <v>2017</v>
      </c>
      <c r="F24" s="35">
        <v>2018</v>
      </c>
      <c r="G24" s="35">
        <v>2019</v>
      </c>
      <c r="H24" s="35">
        <v>2020</v>
      </c>
      <c r="I24" s="27"/>
      <c r="J24" s="27"/>
    </row>
    <row r="25" spans="2:10" ht="15.75" thickBot="1" x14ac:dyDescent="0.3">
      <c r="B25" s="36" t="s">
        <v>61</v>
      </c>
      <c r="C25" s="37"/>
      <c r="D25" s="38"/>
      <c r="E25" s="38"/>
      <c r="F25" s="38"/>
      <c r="G25" s="38"/>
      <c r="H25" s="38"/>
    </row>
    <row r="26" spans="2:10" ht="30.75" thickBot="1" x14ac:dyDescent="0.3">
      <c r="B26" s="39" t="s">
        <v>62</v>
      </c>
      <c r="C26" s="40"/>
      <c r="D26" s="41">
        <v>0.4</v>
      </c>
      <c r="E26" s="41">
        <v>0.37</v>
      </c>
      <c r="F26" s="41">
        <v>0.79</v>
      </c>
      <c r="G26" s="41">
        <v>0.96</v>
      </c>
      <c r="H26" s="41">
        <v>1.02</v>
      </c>
      <c r="I26" s="27"/>
      <c r="J26" s="27"/>
    </row>
    <row r="27" spans="2:10" ht="15.75" thickBot="1" x14ac:dyDescent="0.3">
      <c r="B27" s="42" t="s">
        <v>63</v>
      </c>
      <c r="C27" s="43"/>
      <c r="D27" s="41">
        <v>0.36</v>
      </c>
      <c r="E27" s="41">
        <v>0.39</v>
      </c>
      <c r="F27" s="41">
        <v>0.97</v>
      </c>
      <c r="G27" s="41">
        <v>1.0900000000000001</v>
      </c>
      <c r="H27" s="41">
        <v>1.1599999999999999</v>
      </c>
    </row>
    <row r="28" spans="2:10" x14ac:dyDescent="0.25">
      <c r="B28" s="33" t="s">
        <v>64</v>
      </c>
      <c r="C28" s="33"/>
    </row>
    <row r="30" spans="2:10" x14ac:dyDescent="0.25">
      <c r="B30" s="18" t="s">
        <v>65</v>
      </c>
    </row>
    <row r="31" spans="2:10" x14ac:dyDescent="0.25">
      <c r="C31" s="2">
        <v>2015</v>
      </c>
      <c r="D31" s="2">
        <v>2016</v>
      </c>
      <c r="E31" s="2">
        <v>2017</v>
      </c>
      <c r="F31" s="2">
        <v>2018</v>
      </c>
      <c r="G31" s="2">
        <v>2019</v>
      </c>
      <c r="H31" s="2">
        <v>2020</v>
      </c>
    </row>
    <row r="32" spans="2:10" x14ac:dyDescent="0.25">
      <c r="B32" t="s">
        <v>66</v>
      </c>
      <c r="C32" s="44">
        <v>1</v>
      </c>
      <c r="D32" s="44">
        <f>C32*1+(D26/100)</f>
        <v>1.004</v>
      </c>
      <c r="E32" s="44">
        <f t="shared" ref="E32:H33" si="2">D32*(1+E26/100)</f>
        <v>1.0077148</v>
      </c>
      <c r="F32" s="44">
        <f t="shared" si="2"/>
        <v>1.01567574692</v>
      </c>
      <c r="G32" s="44">
        <f t="shared" si="2"/>
        <v>1.0254262340904321</v>
      </c>
      <c r="H32" s="44">
        <f t="shared" si="2"/>
        <v>1.0358855816781545</v>
      </c>
      <c r="I32" s="45"/>
      <c r="J32" s="45"/>
    </row>
    <row r="33" spans="2:10" x14ac:dyDescent="0.25">
      <c r="B33" t="s">
        <v>67</v>
      </c>
      <c r="C33" s="44">
        <v>1</v>
      </c>
      <c r="D33" s="44">
        <f>C33*1+(D27/100)</f>
        <v>1.0036</v>
      </c>
      <c r="E33" s="44">
        <f t="shared" si="2"/>
        <v>1.00751404</v>
      </c>
      <c r="F33" s="44">
        <f t="shared" si="2"/>
        <v>1.017286926188</v>
      </c>
      <c r="G33" s="44">
        <f t="shared" si="2"/>
        <v>1.028375353683449</v>
      </c>
      <c r="H33" s="44">
        <f t="shared" si="2"/>
        <v>1.040304507786177</v>
      </c>
    </row>
    <row r="34" spans="2:10" x14ac:dyDescent="0.25">
      <c r="F34" s="45"/>
      <c r="G34" s="45"/>
      <c r="H34" s="45"/>
      <c r="I34" s="45"/>
      <c r="J34" s="45"/>
    </row>
    <row r="35" spans="2:10" x14ac:dyDescent="0.25">
      <c r="B35" s="18" t="s">
        <v>68</v>
      </c>
    </row>
    <row r="36" spans="2:10" x14ac:dyDescent="0.25">
      <c r="C36" s="2">
        <v>2015</v>
      </c>
      <c r="D36" s="2">
        <v>2016</v>
      </c>
      <c r="E36" s="2">
        <v>2017</v>
      </c>
      <c r="F36" s="2">
        <v>2018</v>
      </c>
      <c r="G36" s="2">
        <v>2019</v>
      </c>
      <c r="H36" s="2">
        <v>2020</v>
      </c>
    </row>
    <row r="37" spans="2:10" x14ac:dyDescent="0.25">
      <c r="B37" t="s">
        <v>69</v>
      </c>
      <c r="C37" s="28">
        <f>C17</f>
        <v>1.8974612720283446E-2</v>
      </c>
      <c r="D37" s="26">
        <v>4.0141199352505454E-3</v>
      </c>
      <c r="E37" s="26">
        <v>3.7161988694249539E-3</v>
      </c>
      <c r="F37" s="26">
        <v>7.8500228561824374E-3</v>
      </c>
      <c r="G37" s="26">
        <v>9.5736854428500953E-3</v>
      </c>
      <c r="H37" s="26">
        <v>1.0192912905840656E-2</v>
      </c>
    </row>
    <row r="38" spans="2:10" x14ac:dyDescent="0.25">
      <c r="B38" t="s">
        <v>70</v>
      </c>
      <c r="C38" s="31">
        <v>1</v>
      </c>
      <c r="D38" s="31">
        <f>C38*(1+D37)</f>
        <v>1.0040141199352506</v>
      </c>
      <c r="E38" s="31">
        <f>D38*(1+E37)</f>
        <v>1.0077452360726407</v>
      </c>
      <c r="F38" s="31">
        <f>E38*(1+F37)</f>
        <v>1.0156560592090198</v>
      </c>
      <c r="G38" s="31">
        <f>F38*(1+G37)</f>
        <v>1.0253796308380116</v>
      </c>
      <c r="H38" s="31">
        <f>G38*(1+H37)</f>
        <v>1.0358312361105666</v>
      </c>
      <c r="I38" s="27"/>
      <c r="J38" s="27"/>
    </row>
    <row r="40" spans="2:10" x14ac:dyDescent="0.25">
      <c r="B40" t="s">
        <v>71</v>
      </c>
      <c r="D40" s="2">
        <v>2016</v>
      </c>
      <c r="E40" s="2">
        <v>2017</v>
      </c>
      <c r="F40" s="2">
        <v>2018</v>
      </c>
      <c r="G40" s="2">
        <v>2019</v>
      </c>
      <c r="H40" s="2">
        <v>2020</v>
      </c>
    </row>
    <row r="41" spans="2:10" x14ac:dyDescent="0.25">
      <c r="B41" t="s">
        <v>72</v>
      </c>
      <c r="D41">
        <v>0.62</v>
      </c>
      <c r="E41">
        <v>0.62</v>
      </c>
      <c r="F41">
        <v>0.62</v>
      </c>
      <c r="G41">
        <v>0.62</v>
      </c>
      <c r="H41">
        <v>0.62</v>
      </c>
    </row>
    <row r="42" spans="2:10" x14ac:dyDescent="0.25">
      <c r="B42" t="s">
        <v>73</v>
      </c>
      <c r="D42">
        <v>0.38</v>
      </c>
      <c r="E42">
        <v>0.38</v>
      </c>
      <c r="F42">
        <v>0.38</v>
      </c>
      <c r="G42">
        <v>0.38</v>
      </c>
      <c r="H42">
        <v>0.38</v>
      </c>
    </row>
    <row r="43" spans="2:10" x14ac:dyDescent="0.25">
      <c r="B43" s="33" t="s">
        <v>74</v>
      </c>
    </row>
    <row r="44" spans="2:10" x14ac:dyDescent="0.25">
      <c r="B44" s="46"/>
      <c r="C44" s="46"/>
      <c r="D44" s="46"/>
      <c r="E44" s="46"/>
      <c r="F44" s="46"/>
      <c r="G44" s="46"/>
      <c r="H44" s="46"/>
    </row>
    <row r="45" spans="2:10" x14ac:dyDescent="0.25">
      <c r="D45" s="26"/>
      <c r="E45" s="26"/>
      <c r="F45" s="26"/>
      <c r="G45" s="26"/>
    </row>
    <row r="46" spans="2:10" x14ac:dyDescent="0.25">
      <c r="B46" t="s">
        <v>75</v>
      </c>
      <c r="C46" s="47">
        <v>1000</v>
      </c>
    </row>
  </sheetData>
  <mergeCells count="1">
    <mergeCell ref="D23:H23"/>
  </mergeCells>
  <pageMargins left="0.7" right="0.7" top="0.75" bottom="0.75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4"/>
  <sheetViews>
    <sheetView zoomScaleNormal="100" workbookViewId="0">
      <selection activeCell="AL78" sqref="AL78"/>
    </sheetView>
  </sheetViews>
  <sheetFormatPr defaultRowHeight="15" x14ac:dyDescent="0.25"/>
  <cols>
    <col min="1" max="1" width="4.7109375" customWidth="1"/>
    <col min="2" max="2" width="67.7109375" customWidth="1"/>
    <col min="3" max="3" width="10.5703125" customWidth="1"/>
    <col min="4" max="4" width="50.7109375" customWidth="1"/>
  </cols>
  <sheetData>
    <row r="2" spans="2:4" x14ac:dyDescent="0.25">
      <c r="B2" s="11" t="s">
        <v>76</v>
      </c>
    </row>
    <row r="3" spans="2:4" x14ac:dyDescent="0.25">
      <c r="B3" t="s">
        <v>77</v>
      </c>
      <c r="C3" s="48" t="s">
        <v>78</v>
      </c>
      <c r="D3" s="2" t="s">
        <v>79</v>
      </c>
    </row>
    <row r="5" spans="2:4" x14ac:dyDescent="0.25">
      <c r="B5" t="s">
        <v>80</v>
      </c>
      <c r="C5" s="49">
        <v>125</v>
      </c>
    </row>
    <row r="6" spans="2:4" x14ac:dyDescent="0.25">
      <c r="B6" t="s">
        <v>81</v>
      </c>
      <c r="C6" s="49">
        <v>152</v>
      </c>
    </row>
    <row r="7" spans="2:4" x14ac:dyDescent="0.25">
      <c r="B7" t="s">
        <v>82</v>
      </c>
      <c r="C7" s="49">
        <v>142</v>
      </c>
    </row>
    <row r="8" spans="2:4" x14ac:dyDescent="0.25">
      <c r="B8" t="s">
        <v>83</v>
      </c>
      <c r="C8" s="49">
        <v>165</v>
      </c>
    </row>
    <row r="9" spans="2:4" x14ac:dyDescent="0.25">
      <c r="B9" t="s">
        <v>84</v>
      </c>
      <c r="C9" s="49">
        <v>215</v>
      </c>
    </row>
    <row r="10" spans="2:4" x14ac:dyDescent="0.25">
      <c r="B10" t="s">
        <v>85</v>
      </c>
      <c r="C10" s="49">
        <v>152</v>
      </c>
    </row>
    <row r="11" spans="2:4" x14ac:dyDescent="0.25">
      <c r="B11" t="s">
        <v>86</v>
      </c>
      <c r="C11" s="49">
        <v>152</v>
      </c>
    </row>
    <row r="12" spans="2:4" x14ac:dyDescent="0.25">
      <c r="B12" t="s">
        <v>87</v>
      </c>
      <c r="C12" s="49">
        <v>152</v>
      </c>
    </row>
    <row r="14" spans="2:4" x14ac:dyDescent="0.25">
      <c r="B14" s="23"/>
      <c r="C14" s="311"/>
    </row>
    <row r="15" spans="2:4" x14ac:dyDescent="0.25">
      <c r="C15" s="48"/>
    </row>
    <row r="17" spans="2:4" x14ac:dyDescent="0.25">
      <c r="B17" s="50"/>
      <c r="C17" s="51"/>
      <c r="D17" s="52"/>
    </row>
    <row r="19" spans="2:4" x14ac:dyDescent="0.25">
      <c r="C19" s="49"/>
    </row>
    <row r="20" spans="2:4" x14ac:dyDescent="0.25">
      <c r="C20" s="49"/>
    </row>
    <row r="21" spans="2:4" x14ac:dyDescent="0.25">
      <c r="C21" s="49"/>
    </row>
    <row r="22" spans="2:4" x14ac:dyDescent="0.25">
      <c r="C22" s="49"/>
    </row>
    <row r="23" spans="2:4" x14ac:dyDescent="0.25">
      <c r="C23" s="49"/>
    </row>
    <row r="24" spans="2:4" x14ac:dyDescent="0.25">
      <c r="C24" s="49"/>
    </row>
  </sheetData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3"/>
  <sheetViews>
    <sheetView workbookViewId="0">
      <selection activeCell="AL78" sqref="AL78"/>
    </sheetView>
  </sheetViews>
  <sheetFormatPr defaultRowHeight="15" x14ac:dyDescent="0.25"/>
  <cols>
    <col min="1" max="1" width="5.7109375" customWidth="1"/>
    <col min="2" max="2" width="32.7109375" customWidth="1"/>
    <col min="4" max="4" width="27.85546875" customWidth="1"/>
  </cols>
  <sheetData>
    <row r="2" spans="2:6" x14ac:dyDescent="0.25">
      <c r="B2" s="3" t="s">
        <v>88</v>
      </c>
      <c r="D2" s="3" t="s">
        <v>89</v>
      </c>
      <c r="F2" s="3" t="s">
        <v>90</v>
      </c>
    </row>
    <row r="3" spans="2:6" x14ac:dyDescent="0.25">
      <c r="B3" t="s">
        <v>3</v>
      </c>
      <c r="D3" t="s">
        <v>28</v>
      </c>
      <c r="F3" t="s">
        <v>91</v>
      </c>
    </row>
    <row r="4" spans="2:6" x14ac:dyDescent="0.25">
      <c r="B4" t="s">
        <v>92</v>
      </c>
      <c r="D4" t="s">
        <v>93</v>
      </c>
      <c r="F4" t="s">
        <v>94</v>
      </c>
    </row>
    <row r="5" spans="2:6" x14ac:dyDescent="0.25">
      <c r="B5" t="s">
        <v>2</v>
      </c>
      <c r="D5" t="s">
        <v>27</v>
      </c>
    </row>
    <row r="6" spans="2:6" x14ac:dyDescent="0.25">
      <c r="B6" t="s">
        <v>95</v>
      </c>
      <c r="D6" t="s">
        <v>96</v>
      </c>
    </row>
    <row r="7" spans="2:6" x14ac:dyDescent="0.25">
      <c r="B7" t="s">
        <v>97</v>
      </c>
      <c r="D7" t="s">
        <v>98</v>
      </c>
    </row>
    <row r="8" spans="2:6" x14ac:dyDescent="0.25">
      <c r="B8" t="s">
        <v>4</v>
      </c>
      <c r="D8" t="s">
        <v>99</v>
      </c>
    </row>
    <row r="9" spans="2:6" x14ac:dyDescent="0.25">
      <c r="D9" t="s">
        <v>100</v>
      </c>
    </row>
    <row r="12" spans="2:6" x14ac:dyDescent="0.25">
      <c r="B12" s="3" t="s">
        <v>101</v>
      </c>
      <c r="C12" s="3" t="s">
        <v>102</v>
      </c>
    </row>
    <row r="13" spans="2:6" x14ac:dyDescent="0.25">
      <c r="B13" s="390" t="s">
        <v>480</v>
      </c>
      <c r="C13" s="391" t="s">
        <v>479</v>
      </c>
    </row>
    <row r="14" spans="2:6" ht="60" x14ac:dyDescent="0.25">
      <c r="B14" s="392" t="s">
        <v>411</v>
      </c>
      <c r="C14" s="393" t="s">
        <v>6</v>
      </c>
    </row>
    <row r="15" spans="2:6" ht="45" x14ac:dyDescent="0.25">
      <c r="B15" s="392" t="s">
        <v>409</v>
      </c>
      <c r="C15" s="391" t="s">
        <v>406</v>
      </c>
    </row>
    <row r="16" spans="2:6" ht="45" x14ac:dyDescent="0.25">
      <c r="B16" s="392" t="s">
        <v>408</v>
      </c>
      <c r="C16" s="393" t="s">
        <v>7</v>
      </c>
    </row>
    <row r="17" spans="2:3" x14ac:dyDescent="0.25">
      <c r="B17" s="394" t="s">
        <v>103</v>
      </c>
      <c r="C17" s="393" t="s">
        <v>104</v>
      </c>
    </row>
    <row r="18" spans="2:3" x14ac:dyDescent="0.25">
      <c r="B18" s="394" t="s">
        <v>105</v>
      </c>
      <c r="C18" s="393" t="s">
        <v>106</v>
      </c>
    </row>
    <row r="19" spans="2:3" ht="45" x14ac:dyDescent="0.25">
      <c r="B19" s="392" t="s">
        <v>412</v>
      </c>
      <c r="C19" s="393" t="s">
        <v>107</v>
      </c>
    </row>
    <row r="20" spans="2:3" ht="90" x14ac:dyDescent="0.25">
      <c r="B20" s="392" t="s">
        <v>427</v>
      </c>
      <c r="C20" s="393" t="s">
        <v>108</v>
      </c>
    </row>
    <row r="21" spans="2:3" x14ac:dyDescent="0.25">
      <c r="B21" s="394" t="s">
        <v>109</v>
      </c>
      <c r="C21" s="393" t="s">
        <v>110</v>
      </c>
    </row>
    <row r="22" spans="2:3" x14ac:dyDescent="0.25">
      <c r="B22" s="394"/>
      <c r="C22" s="393"/>
    </row>
    <row r="23" spans="2:3" x14ac:dyDescent="0.25">
      <c r="B23" s="394"/>
      <c r="C23" s="39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87"/>
  <sheetViews>
    <sheetView zoomScale="85" zoomScaleNormal="85" workbookViewId="0">
      <selection activeCell="F42" sqref="F42"/>
    </sheetView>
  </sheetViews>
  <sheetFormatPr defaultRowHeight="15" outlineLevelCol="1" x14ac:dyDescent="0.25"/>
  <cols>
    <col min="1" max="1" width="4.140625" customWidth="1"/>
    <col min="2" max="2" width="19.42578125" customWidth="1"/>
    <col min="3" max="3" width="23.7109375" hidden="1" customWidth="1" outlineLevel="1"/>
    <col min="4" max="4" width="11.7109375" customWidth="1" collapsed="1"/>
    <col min="5" max="5" width="10.5703125" bestFit="1" customWidth="1"/>
    <col min="6" max="7" width="9.7109375" bestFit="1" customWidth="1"/>
    <col min="8" max="8" width="10.5703125" bestFit="1" customWidth="1"/>
    <col min="9" max="9" width="9.7109375" bestFit="1" customWidth="1"/>
    <col min="10" max="10" width="10.7109375" bestFit="1" customWidth="1"/>
    <col min="11" max="11" width="10.5703125" bestFit="1" customWidth="1"/>
    <col min="12" max="15" width="9.28515625" bestFit="1" customWidth="1"/>
    <col min="16" max="16" width="10.28515625" bestFit="1" customWidth="1"/>
    <col min="17" max="17" width="10.5703125" bestFit="1" customWidth="1"/>
  </cols>
  <sheetData>
    <row r="1" spans="2:17" x14ac:dyDescent="0.25">
      <c r="B1" s="3" t="s">
        <v>413</v>
      </c>
      <c r="C1" s="3"/>
      <c r="D1" s="3"/>
    </row>
    <row r="3" spans="2:17" x14ac:dyDescent="0.25">
      <c r="B3" s="387" t="s">
        <v>32</v>
      </c>
    </row>
    <row r="4" spans="2:17" ht="30" x14ac:dyDescent="0.25">
      <c r="B4" s="3" t="s">
        <v>3</v>
      </c>
      <c r="C4" s="3"/>
      <c r="D4" s="388" t="s">
        <v>26</v>
      </c>
      <c r="E4" s="9" t="s">
        <v>17</v>
      </c>
      <c r="F4" s="9" t="s">
        <v>18</v>
      </c>
      <c r="G4" s="9" t="s">
        <v>19</v>
      </c>
      <c r="H4" s="9" t="s">
        <v>9</v>
      </c>
      <c r="I4" s="9" t="s">
        <v>10</v>
      </c>
      <c r="J4" s="9" t="s">
        <v>11</v>
      </c>
      <c r="K4" s="9" t="s">
        <v>12</v>
      </c>
      <c r="L4" s="9" t="s">
        <v>13</v>
      </c>
      <c r="M4" s="9" t="s">
        <v>14</v>
      </c>
      <c r="N4" s="9" t="s">
        <v>15</v>
      </c>
      <c r="O4" s="9" t="s">
        <v>16</v>
      </c>
      <c r="P4" s="9" t="s">
        <v>8</v>
      </c>
      <c r="Q4" s="9" t="s">
        <v>407</v>
      </c>
    </row>
    <row r="5" spans="2:17" x14ac:dyDescent="0.25">
      <c r="B5" s="285" t="str">
        <f>STN_1</f>
        <v>&lt;Spare&gt;</v>
      </c>
      <c r="C5" s="386" t="str">
        <f>$B$4</f>
        <v>Subtransmission</v>
      </c>
      <c r="D5" s="384">
        <f>SUMIFS(Spare_Det!$P$122:$P$138,Spare_Det!$D$122:$D$138,C5)</f>
        <v>0</v>
      </c>
      <c r="E5" s="397">
        <f>$D5*Phasing!C6</f>
        <v>0</v>
      </c>
      <c r="F5" s="397">
        <f>$D5*Phasing!D6</f>
        <v>0</v>
      </c>
      <c r="G5" s="397">
        <f>$D5*Phasing!E6</f>
        <v>0</v>
      </c>
      <c r="H5" s="397">
        <f>$D5*Phasing!F6</f>
        <v>0</v>
      </c>
      <c r="I5" s="397">
        <f>$D5*Phasing!G6</f>
        <v>0</v>
      </c>
      <c r="J5" s="397">
        <f>$D5*Phasing!H6</f>
        <v>0</v>
      </c>
      <c r="K5" s="397">
        <f>$D5*Phasing!I6</f>
        <v>0</v>
      </c>
      <c r="L5" s="397">
        <f>$D5*Phasing!J6</f>
        <v>0</v>
      </c>
      <c r="M5" s="397">
        <f>$D5*Phasing!K6</f>
        <v>0</v>
      </c>
      <c r="N5" s="397">
        <f>$D5*Phasing!L6</f>
        <v>0</v>
      </c>
      <c r="O5" s="397">
        <f>$D5*Phasing!M6</f>
        <v>0</v>
      </c>
      <c r="P5" s="4">
        <f t="shared" ref="P5:P8" si="0">SUM(E5:O5)</f>
        <v>0</v>
      </c>
      <c r="Q5" s="77">
        <f>P5-D5</f>
        <v>0</v>
      </c>
    </row>
    <row r="6" spans="2:17" x14ac:dyDescent="0.25">
      <c r="B6" s="285" t="str">
        <f>STN_2</f>
        <v>WOTS</v>
      </c>
      <c r="C6" s="386" t="str">
        <f t="shared" ref="C6:C13" si="1">$B$4</f>
        <v>Subtransmission</v>
      </c>
      <c r="D6" s="384">
        <f>SUMIFS(WOTS_Det!$P$115:$P$131,WOTS_Det!$D$115:$D$131,C6)</f>
        <v>8167.2570452284535</v>
      </c>
      <c r="E6" s="397">
        <f>$D6*Phasing!C7</f>
        <v>0</v>
      </c>
      <c r="F6" s="397">
        <f>$D6*Phasing!D7</f>
        <v>1640.2444200428806</v>
      </c>
      <c r="G6" s="397">
        <f>$D6*Phasing!E7</f>
        <v>2041.8142613071134</v>
      </c>
      <c r="H6" s="397">
        <f>$D6*Phasing!F7</f>
        <v>2443.3841025713459</v>
      </c>
      <c r="I6" s="397">
        <f>$D6*Phasing!G7</f>
        <v>1426.7226037910332</v>
      </c>
      <c r="J6" s="397">
        <f>$D6*Phasing!H7</f>
        <v>410.06110501072015</v>
      </c>
      <c r="K6" s="397">
        <f>$D6*Phasing!I7</f>
        <v>205.03055250536008</v>
      </c>
      <c r="L6" s="397">
        <f>$D6*Phasing!J7</f>
        <v>0</v>
      </c>
      <c r="M6" s="397">
        <f>$D6*Phasing!K7</f>
        <v>0</v>
      </c>
      <c r="N6" s="397">
        <f>$D6*Phasing!L7</f>
        <v>0</v>
      </c>
      <c r="O6" s="397">
        <f>$D6*Phasing!M7</f>
        <v>0</v>
      </c>
      <c r="P6" s="4">
        <f t="shared" si="0"/>
        <v>8167.2570452284535</v>
      </c>
      <c r="Q6" s="77">
        <f t="shared" ref="Q6:Q13" si="2">P6-D6</f>
        <v>0</v>
      </c>
    </row>
    <row r="7" spans="2:17" x14ac:dyDescent="0.25">
      <c r="B7" s="285" t="str">
        <f>STN_3</f>
        <v>BDL</v>
      </c>
      <c r="C7" s="386" t="str">
        <f t="shared" si="1"/>
        <v>Subtransmission</v>
      </c>
      <c r="D7" s="384">
        <f>SUMIFS(BDL_Det!$P$128:$P$144,BDL_Det!$D$128:$D$144,C7)</f>
        <v>11729.552543713227</v>
      </c>
      <c r="E7" s="397">
        <f>$D7*Phasing!C8</f>
        <v>0</v>
      </c>
      <c r="F7" s="397">
        <f>$D7*Phasing!D8</f>
        <v>2151.4113903168022</v>
      </c>
      <c r="G7" s="397">
        <f>$D7*Phasing!E8</f>
        <v>2509.8316652947606</v>
      </c>
      <c r="H7" s="397">
        <f>$D7*Phasing!F8</f>
        <v>2868.2519402727185</v>
      </c>
      <c r="I7" s="397">
        <f>$D7*Phasing!G8</f>
        <v>2125.6088645595059</v>
      </c>
      <c r="J7" s="397">
        <f>$D7*Phasing!H8</f>
        <v>1382.9657888462932</v>
      </c>
      <c r="K7" s="397">
        <f>$D7*Phasing!I8</f>
        <v>691.4828944231466</v>
      </c>
      <c r="L7" s="397">
        <f>$D7*Phasing!J8</f>
        <v>0</v>
      </c>
      <c r="M7" s="397">
        <f>$D7*Phasing!K8</f>
        <v>0</v>
      </c>
      <c r="N7" s="397">
        <f>$D7*Phasing!L8</f>
        <v>0</v>
      </c>
      <c r="O7" s="397">
        <f>$D7*Phasing!M8</f>
        <v>0</v>
      </c>
      <c r="P7" s="4">
        <f t="shared" si="0"/>
        <v>11729.552543713227</v>
      </c>
      <c r="Q7" s="77">
        <f t="shared" si="2"/>
        <v>0</v>
      </c>
    </row>
    <row r="8" spans="2:17" x14ac:dyDescent="0.25">
      <c r="B8" s="285" t="str">
        <f>STN_4</f>
        <v>ELM</v>
      </c>
      <c r="C8" s="386" t="str">
        <f t="shared" si="1"/>
        <v>Subtransmission</v>
      </c>
      <c r="D8" s="384">
        <f>SUMIFS(ELM_Det!$P$122:$P$138,ELM_Det!$D$122:$D$138,C8)</f>
        <v>7033.8132798161296</v>
      </c>
      <c r="E8" s="397">
        <f>$D8*Phasing!C9</f>
        <v>0</v>
      </c>
      <c r="F8" s="397">
        <f>$D8*Phasing!D9</f>
        <v>1349.4009416706504</v>
      </c>
      <c r="G8" s="397">
        <f>$D8*Phasing!E9</f>
        <v>1508.0405204924541</v>
      </c>
      <c r="H8" s="397">
        <f>$D8*Phasing!F9</f>
        <v>1666.6800993142576</v>
      </c>
      <c r="I8" s="397">
        <f>$D8*Phasing!G9</f>
        <v>1252.4279668275385</v>
      </c>
      <c r="J8" s="397">
        <f>$D8*Phasing!H9</f>
        <v>838.17583434081951</v>
      </c>
      <c r="K8" s="397">
        <f>$D8*Phasing!I9</f>
        <v>419.08791717040975</v>
      </c>
      <c r="L8" s="397">
        <f>$D8*Phasing!J9</f>
        <v>0</v>
      </c>
      <c r="M8" s="397">
        <f>$D8*Phasing!K9</f>
        <v>0</v>
      </c>
      <c r="N8" s="397">
        <f>$D8*Phasing!L9</f>
        <v>0</v>
      </c>
      <c r="O8" s="397">
        <f>$D8*Phasing!M9</f>
        <v>0</v>
      </c>
      <c r="P8" s="4">
        <f t="shared" si="0"/>
        <v>7033.8132798161296</v>
      </c>
      <c r="Q8" s="77">
        <f t="shared" si="2"/>
        <v>0</v>
      </c>
    </row>
    <row r="9" spans="2:17" x14ac:dyDescent="0.25">
      <c r="B9" s="285" t="str">
        <f>STN_5</f>
        <v>RWN</v>
      </c>
      <c r="C9" s="386" t="str">
        <f t="shared" si="1"/>
        <v>Subtransmission</v>
      </c>
      <c r="D9" s="384">
        <f>SUMIFS(RWN_Det!$P$119:$P$127,RWN_Det!$D$119:$D$127,C9)</f>
        <v>3347.6318720348918</v>
      </c>
      <c r="E9" s="397">
        <f>$D9*Phasing!C10</f>
        <v>0</v>
      </c>
      <c r="F9" s="397">
        <f>$D9*Phasing!D10</f>
        <v>0</v>
      </c>
      <c r="G9" s="397">
        <f>$D9*Phasing!E10</f>
        <v>0</v>
      </c>
      <c r="H9" s="397">
        <f>$D9*Phasing!F10</f>
        <v>0</v>
      </c>
      <c r="I9" s="397">
        <f>$D9*Phasing!G10</f>
        <v>0</v>
      </c>
      <c r="J9" s="397">
        <f>$D9*Phasing!H10</f>
        <v>0</v>
      </c>
      <c r="K9" s="397">
        <f>$D9*Phasing!I10</f>
        <v>418.45398400436147</v>
      </c>
      <c r="L9" s="397">
        <f>$D9*Phasing!J10</f>
        <v>836.90796800872295</v>
      </c>
      <c r="M9" s="397">
        <f>$D9*Phasing!K10</f>
        <v>836.90796800872295</v>
      </c>
      <c r="N9" s="397">
        <f>$D9*Phasing!L10</f>
        <v>836.90796800872295</v>
      </c>
      <c r="O9" s="397">
        <f>$D9*Phasing!M10</f>
        <v>418.45398400436147</v>
      </c>
      <c r="P9" s="4">
        <f>SUM(E9:O9)</f>
        <v>3347.6318720348918</v>
      </c>
      <c r="Q9" s="77">
        <f t="shared" si="2"/>
        <v>0</v>
      </c>
    </row>
    <row r="10" spans="2:17" x14ac:dyDescent="0.25">
      <c r="B10" s="285" t="str">
        <f>STN_6</f>
        <v>KMS</v>
      </c>
      <c r="C10" s="386" t="str">
        <f t="shared" si="1"/>
        <v>Subtransmission</v>
      </c>
      <c r="D10" s="384">
        <f>SUMIFS(KMS_Det!$P$116:$P$124,KMS_Det!$D$116:$D$124,C10)</f>
        <v>2011.3361481395327</v>
      </c>
      <c r="E10" s="397">
        <f>$D10*Phasing!C11</f>
        <v>0</v>
      </c>
      <c r="F10" s="397">
        <f>$D10*Phasing!D11</f>
        <v>1005.6680740697664</v>
      </c>
      <c r="G10" s="397">
        <f>$D10*Phasing!E11</f>
        <v>628.542546293604</v>
      </c>
      <c r="H10" s="397">
        <f>$D10*Phasing!F11</f>
        <v>251.41701851744159</v>
      </c>
      <c r="I10" s="397">
        <f>$D10*Phasing!G11</f>
        <v>125.7085092587208</v>
      </c>
      <c r="J10" s="397">
        <f>$D10*Phasing!H11</f>
        <v>0</v>
      </c>
      <c r="K10" s="397">
        <f>$D10*Phasing!I11</f>
        <v>0</v>
      </c>
      <c r="L10" s="397">
        <f>$D10*Phasing!J11</f>
        <v>0</v>
      </c>
      <c r="M10" s="397">
        <f>$D10*Phasing!K11</f>
        <v>0</v>
      </c>
      <c r="N10" s="397">
        <f>$D10*Phasing!L11</f>
        <v>0</v>
      </c>
      <c r="O10" s="397">
        <f>$D10*Phasing!M11</f>
        <v>0</v>
      </c>
      <c r="P10" s="4">
        <f>SUM(E10:O10)</f>
        <v>2011.3361481395327</v>
      </c>
      <c r="Q10" s="77">
        <f t="shared" si="2"/>
        <v>0</v>
      </c>
    </row>
    <row r="11" spans="2:17" x14ac:dyDescent="0.25">
      <c r="B11" s="285" t="str">
        <f>STN_7</f>
        <v>WGI</v>
      </c>
      <c r="C11" s="386" t="str">
        <f t="shared" si="1"/>
        <v>Subtransmission</v>
      </c>
      <c r="D11" s="384">
        <f>SUMIFS(WGI_Det!$P$97:$P$106,WGI_Det!$D$97:$D$106,C11)</f>
        <v>7055.9904085284197</v>
      </c>
      <c r="E11" s="397">
        <f>$D11*Phasing!C12</f>
        <v>0</v>
      </c>
      <c r="F11" s="397">
        <f>$D11*Phasing!D12</f>
        <v>705.59904085284177</v>
      </c>
      <c r="G11" s="397">
        <f>$D11*Phasing!E12</f>
        <v>1763.9976021321045</v>
      </c>
      <c r="H11" s="397">
        <f>$D11*Phasing!F12</f>
        <v>2822.3961634113675</v>
      </c>
      <c r="I11" s="397">
        <f>$D11*Phasing!G12</f>
        <v>1499.3979618122892</v>
      </c>
      <c r="J11" s="397">
        <f>$D11*Phasing!H12</f>
        <v>176.39976021321047</v>
      </c>
      <c r="K11" s="397">
        <f>$D11*Phasing!I12</f>
        <v>88.199880106605235</v>
      </c>
      <c r="L11" s="397">
        <f>$D11*Phasing!J12</f>
        <v>0</v>
      </c>
      <c r="M11" s="397">
        <f>$D11*Phasing!K12</f>
        <v>0</v>
      </c>
      <c r="N11" s="397">
        <f>$D11*Phasing!L12</f>
        <v>0</v>
      </c>
      <c r="O11" s="397">
        <f>$D11*Phasing!M12</f>
        <v>0</v>
      </c>
      <c r="P11" s="4">
        <f>SUM(E11:O11)</f>
        <v>7055.9904085284197</v>
      </c>
      <c r="Q11" s="77">
        <f t="shared" si="2"/>
        <v>0</v>
      </c>
    </row>
    <row r="12" spans="2:17" x14ac:dyDescent="0.25">
      <c r="B12" s="285" t="str">
        <f>STN_8</f>
        <v>BGE</v>
      </c>
      <c r="C12" s="386" t="str">
        <f t="shared" si="1"/>
        <v>Subtransmission</v>
      </c>
      <c r="D12" s="384">
        <f>SUMIFS(BGE_Det!$P$112:$P$126,BGE_Det!$D$112:$D$126,C12)</f>
        <v>4905.5579346228906</v>
      </c>
      <c r="E12" s="397">
        <f>$D12*Phasing!C13</f>
        <v>0</v>
      </c>
      <c r="F12" s="397">
        <f>$D12*Phasing!D13</f>
        <v>490.55579346228899</v>
      </c>
      <c r="G12" s="397">
        <f>$D12*Phasing!E13</f>
        <v>1226.3894836557229</v>
      </c>
      <c r="H12" s="397">
        <f>$D12*Phasing!F13</f>
        <v>1962.2231738491566</v>
      </c>
      <c r="I12" s="397">
        <f>$D12*Phasing!G13</f>
        <v>1042.4310611073645</v>
      </c>
      <c r="J12" s="397">
        <f>$D12*Phasing!H13</f>
        <v>122.63894836557229</v>
      </c>
      <c r="K12" s="397">
        <f>$D12*Phasing!I13</f>
        <v>61.319474182786145</v>
      </c>
      <c r="L12" s="397">
        <f>$D12*Phasing!J13</f>
        <v>0</v>
      </c>
      <c r="M12" s="397">
        <f>$D12*Phasing!K13</f>
        <v>0</v>
      </c>
      <c r="N12" s="397">
        <f>$D12*Phasing!L13</f>
        <v>0</v>
      </c>
      <c r="O12" s="397">
        <f>$D12*Phasing!M13</f>
        <v>0</v>
      </c>
      <c r="P12" s="4">
        <f>SUM(E12:O12)</f>
        <v>4905.5579346228915</v>
      </c>
      <c r="Q12" s="77">
        <f t="shared" si="2"/>
        <v>0</v>
      </c>
    </row>
    <row r="13" spans="2:17" x14ac:dyDescent="0.25">
      <c r="B13" s="285" t="str">
        <f>STN_9</f>
        <v>LDL</v>
      </c>
      <c r="C13" s="386" t="str">
        <f t="shared" si="1"/>
        <v>Subtransmission</v>
      </c>
      <c r="D13" s="384">
        <f>SUMIFS(LDL_Det!$P$96:$P$105,LDL_Det!$D$96:$D$105,C13)</f>
        <v>2886.8820862048533</v>
      </c>
      <c r="E13" s="397">
        <f>$D13*Phasing!C14</f>
        <v>0</v>
      </c>
      <c r="F13" s="397">
        <f>$D13*Phasing!D14</f>
        <v>0</v>
      </c>
      <c r="G13" s="397">
        <f>$D13*Phasing!E14</f>
        <v>742.41410400893881</v>
      </c>
      <c r="H13" s="397">
        <f>$D13*Phasing!F14</f>
        <v>1429.645321463943</v>
      </c>
      <c r="I13" s="397">
        <f>$D13*Phasing!G14</f>
        <v>714.8226607319715</v>
      </c>
      <c r="J13" s="397">
        <f>$D13*Phasing!H14</f>
        <v>0</v>
      </c>
      <c r="K13" s="397">
        <f>$D13*Phasing!I14</f>
        <v>0</v>
      </c>
      <c r="L13" s="397">
        <f>$D13*Phasing!J14</f>
        <v>0</v>
      </c>
      <c r="M13" s="397">
        <f>$D13*Phasing!K14</f>
        <v>0</v>
      </c>
      <c r="N13" s="397">
        <f>$D13*Phasing!L14</f>
        <v>0</v>
      </c>
      <c r="O13" s="397">
        <f>$D13*Phasing!M14</f>
        <v>0</v>
      </c>
      <c r="P13" s="4">
        <f>SUM(E13:O13)</f>
        <v>2886.8820862048533</v>
      </c>
      <c r="Q13" s="77">
        <f t="shared" si="2"/>
        <v>0</v>
      </c>
    </row>
    <row r="14" spans="2:17" x14ac:dyDescent="0.25">
      <c r="B14" s="286" t="s">
        <v>8</v>
      </c>
      <c r="C14" s="286"/>
      <c r="D14" s="286"/>
      <c r="E14" s="284">
        <f t="shared" ref="E14:Q14" si="3">SUM(E5:E13)</f>
        <v>0</v>
      </c>
      <c r="F14" s="284">
        <f t="shared" si="3"/>
        <v>7342.8796604152303</v>
      </c>
      <c r="G14" s="284">
        <f t="shared" si="3"/>
        <v>10421.030183184695</v>
      </c>
      <c r="H14" s="284">
        <f t="shared" si="3"/>
        <v>13443.997819400231</v>
      </c>
      <c r="I14" s="284">
        <f t="shared" si="3"/>
        <v>8187.1196280884224</v>
      </c>
      <c r="J14" s="284">
        <f t="shared" si="3"/>
        <v>2930.2414367766155</v>
      </c>
      <c r="K14" s="284">
        <f t="shared" si="3"/>
        <v>1883.5747023926692</v>
      </c>
      <c r="L14" s="284">
        <f t="shared" si="3"/>
        <v>836.90796800872295</v>
      </c>
      <c r="M14" s="284">
        <f t="shared" si="3"/>
        <v>836.90796800872295</v>
      </c>
      <c r="N14" s="284">
        <f t="shared" si="3"/>
        <v>836.90796800872295</v>
      </c>
      <c r="O14" s="284">
        <f t="shared" si="3"/>
        <v>418.45398400436147</v>
      </c>
      <c r="P14" s="284">
        <f t="shared" si="3"/>
        <v>47138.021318288404</v>
      </c>
      <c r="Q14" s="77">
        <f t="shared" si="3"/>
        <v>0</v>
      </c>
    </row>
    <row r="15" spans="2:17" x14ac:dyDescent="0.25">
      <c r="E15" s="165"/>
      <c r="F15" s="165"/>
      <c r="G15" s="165"/>
      <c r="H15" s="165"/>
      <c r="I15" s="165"/>
      <c r="J15" s="165"/>
      <c r="K15" s="165"/>
      <c r="L15" s="165"/>
      <c r="M15" s="165"/>
      <c r="N15" s="165"/>
      <c r="O15" s="165"/>
      <c r="P15" s="165"/>
    </row>
    <row r="16" spans="2:17" ht="30" x14ac:dyDescent="0.25">
      <c r="B16" s="383" t="s">
        <v>92</v>
      </c>
      <c r="C16" s="383"/>
      <c r="D16" s="388" t="s">
        <v>26</v>
      </c>
      <c r="E16" s="9" t="s">
        <v>17</v>
      </c>
      <c r="F16" s="9" t="s">
        <v>18</v>
      </c>
      <c r="G16" s="9" t="s">
        <v>19</v>
      </c>
      <c r="H16" s="9" t="s">
        <v>9</v>
      </c>
      <c r="I16" s="9" t="s">
        <v>10</v>
      </c>
      <c r="J16" s="9" t="s">
        <v>11</v>
      </c>
      <c r="K16" s="9" t="s">
        <v>12</v>
      </c>
      <c r="L16" s="9" t="s">
        <v>13</v>
      </c>
      <c r="M16" s="9" t="s">
        <v>14</v>
      </c>
      <c r="N16" s="9" t="s">
        <v>15</v>
      </c>
      <c r="O16" s="9" t="s">
        <v>16</v>
      </c>
      <c r="P16" s="9" t="s">
        <v>8</v>
      </c>
      <c r="Q16" s="9" t="s">
        <v>407</v>
      </c>
    </row>
    <row r="17" spans="2:17" x14ac:dyDescent="0.25">
      <c r="B17" s="285" t="str">
        <f>STN_1</f>
        <v>&lt;Spare&gt;</v>
      </c>
      <c r="C17" s="386" t="str">
        <f>$B$16</f>
        <v>Distribution system assets</v>
      </c>
      <c r="D17" s="384">
        <f>SUMIFS(Spare_Det!$P$122:$P$138,Spare_Det!$D$122:$D$138,B$16)</f>
        <v>0</v>
      </c>
      <c r="E17" s="399">
        <f>$D17*Phasing!C6</f>
        <v>0</v>
      </c>
      <c r="F17" s="399">
        <f>$D17*Phasing!D6</f>
        <v>0</v>
      </c>
      <c r="G17" s="399">
        <f>$D17*Phasing!E6</f>
        <v>0</v>
      </c>
      <c r="H17" s="399">
        <f>$D17*Phasing!F6</f>
        <v>0</v>
      </c>
      <c r="I17" s="399">
        <f>$D17*Phasing!G6</f>
        <v>0</v>
      </c>
      <c r="J17" s="399">
        <f>$D17*Phasing!H6</f>
        <v>0</v>
      </c>
      <c r="K17" s="399">
        <f>$D17*Phasing!I6</f>
        <v>0</v>
      </c>
      <c r="L17" s="399">
        <f>$D17*Phasing!J6</f>
        <v>0</v>
      </c>
      <c r="M17" s="399">
        <f>$D17*Phasing!K6</f>
        <v>0</v>
      </c>
      <c r="N17" s="399">
        <f>$D17*Phasing!L6</f>
        <v>0</v>
      </c>
      <c r="O17" s="399">
        <f>$D17*Phasing!M6</f>
        <v>0</v>
      </c>
      <c r="P17" s="4">
        <f t="shared" ref="P17:P20" si="4">SUM(E17:O17)</f>
        <v>0</v>
      </c>
      <c r="Q17" s="77">
        <f>P17-D17</f>
        <v>0</v>
      </c>
    </row>
    <row r="18" spans="2:17" x14ac:dyDescent="0.25">
      <c r="B18" s="285" t="str">
        <f>STN_2</f>
        <v>WOTS</v>
      </c>
      <c r="C18" s="386" t="str">
        <f t="shared" ref="C18:C25" si="5">$B$16</f>
        <v>Distribution system assets</v>
      </c>
      <c r="D18" s="384">
        <f>SUMIFS(WOTS_Det!$P$115:$P$131,WOTS_Det!$D$115:$D$131,C18)</f>
        <v>896.0956798976689</v>
      </c>
      <c r="E18" s="399">
        <f>$D18*Phasing!C7</f>
        <v>0</v>
      </c>
      <c r="F18" s="399">
        <f>$D18*Phasing!D7</f>
        <v>179.96445203538579</v>
      </c>
      <c r="G18" s="399">
        <f>$D18*Phasing!E7</f>
        <v>224.02391997441723</v>
      </c>
      <c r="H18" s="399">
        <f>$D18*Phasing!F7</f>
        <v>268.08338791344863</v>
      </c>
      <c r="I18" s="399">
        <f>$D18*Phasing!G7</f>
        <v>156.53725046114755</v>
      </c>
      <c r="J18" s="399">
        <f>$D18*Phasing!H7</f>
        <v>44.991113008846447</v>
      </c>
      <c r="K18" s="399">
        <f>$D18*Phasing!I7</f>
        <v>22.495556504423224</v>
      </c>
      <c r="L18" s="399">
        <f>$D18*Phasing!J7</f>
        <v>0</v>
      </c>
      <c r="M18" s="399">
        <f>$D18*Phasing!K7</f>
        <v>0</v>
      </c>
      <c r="N18" s="399">
        <f>$D18*Phasing!L7</f>
        <v>0</v>
      </c>
      <c r="O18" s="399">
        <f>$D18*Phasing!M7</f>
        <v>0</v>
      </c>
      <c r="P18" s="4">
        <f t="shared" si="4"/>
        <v>896.0956798976689</v>
      </c>
      <c r="Q18" s="77">
        <f t="shared" ref="Q18:Q25" si="6">P18-D18</f>
        <v>0</v>
      </c>
    </row>
    <row r="19" spans="2:17" x14ac:dyDescent="0.25">
      <c r="B19" s="285" t="str">
        <f>STN_3</f>
        <v>BDL</v>
      </c>
      <c r="C19" s="386" t="str">
        <f t="shared" si="5"/>
        <v>Distribution system assets</v>
      </c>
      <c r="D19" s="384">
        <f>SUMIFS(BDL_Det!$P$128:$P$144,BDL_Det!$D$128:$D$144,C19)</f>
        <v>0</v>
      </c>
      <c r="E19" s="399">
        <f>$D19*Phasing!C8</f>
        <v>0</v>
      </c>
      <c r="F19" s="399">
        <f>$D19*Phasing!D8</f>
        <v>0</v>
      </c>
      <c r="G19" s="399">
        <f>$D19*Phasing!E8</f>
        <v>0</v>
      </c>
      <c r="H19" s="399">
        <f>$D19*Phasing!F8</f>
        <v>0</v>
      </c>
      <c r="I19" s="399">
        <f>$D19*Phasing!G8</f>
        <v>0</v>
      </c>
      <c r="J19" s="399">
        <f>$D19*Phasing!H8</f>
        <v>0</v>
      </c>
      <c r="K19" s="399">
        <f>$D19*Phasing!I8</f>
        <v>0</v>
      </c>
      <c r="L19" s="399">
        <f>$D19*Phasing!J8</f>
        <v>0</v>
      </c>
      <c r="M19" s="399">
        <f>$D19*Phasing!K8</f>
        <v>0</v>
      </c>
      <c r="N19" s="399">
        <f>$D19*Phasing!L8</f>
        <v>0</v>
      </c>
      <c r="O19" s="399">
        <f>$D19*Phasing!M8</f>
        <v>0</v>
      </c>
      <c r="P19" s="4">
        <f t="shared" si="4"/>
        <v>0</v>
      </c>
      <c r="Q19" s="77">
        <f t="shared" si="6"/>
        <v>0</v>
      </c>
    </row>
    <row r="20" spans="2:17" x14ac:dyDescent="0.25">
      <c r="B20" s="285" t="str">
        <f>STN_4</f>
        <v>ELM</v>
      </c>
      <c r="C20" s="386" t="str">
        <f t="shared" si="5"/>
        <v>Distribution system assets</v>
      </c>
      <c r="D20" s="384">
        <f>SUMIFS(ELM_Det!$P$122:$P$138,ELM_Det!$D$122:$D$138,C20)</f>
        <v>0</v>
      </c>
      <c r="E20" s="399">
        <f>$D20*Phasing!C9</f>
        <v>0</v>
      </c>
      <c r="F20" s="399">
        <f>$D20*Phasing!D9</f>
        <v>0</v>
      </c>
      <c r="G20" s="399">
        <f>$D20*Phasing!E9</f>
        <v>0</v>
      </c>
      <c r="H20" s="399">
        <f>$D20*Phasing!F9</f>
        <v>0</v>
      </c>
      <c r="I20" s="399">
        <f>$D20*Phasing!G9</f>
        <v>0</v>
      </c>
      <c r="J20" s="399">
        <f>$D20*Phasing!H9</f>
        <v>0</v>
      </c>
      <c r="K20" s="399">
        <f>$D20*Phasing!I9</f>
        <v>0</v>
      </c>
      <c r="L20" s="399">
        <f>$D20*Phasing!J9</f>
        <v>0</v>
      </c>
      <c r="M20" s="399">
        <f>$D20*Phasing!K9</f>
        <v>0</v>
      </c>
      <c r="N20" s="399">
        <f>$D20*Phasing!L9</f>
        <v>0</v>
      </c>
      <c r="O20" s="399">
        <f>$D20*Phasing!M9</f>
        <v>0</v>
      </c>
      <c r="P20" s="4">
        <f t="shared" si="4"/>
        <v>0</v>
      </c>
      <c r="Q20" s="77">
        <f t="shared" si="6"/>
        <v>0</v>
      </c>
    </row>
    <row r="21" spans="2:17" x14ac:dyDescent="0.25">
      <c r="B21" s="285" t="str">
        <f>STN_5</f>
        <v>RWN</v>
      </c>
      <c r="C21" s="386" t="str">
        <f t="shared" si="5"/>
        <v>Distribution system assets</v>
      </c>
      <c r="D21" s="384">
        <f>SUMIFS(RWN_Det!$P$119:$P$127,RWN_Det!$D$119:$D$127,C21)</f>
        <v>0</v>
      </c>
      <c r="E21" s="232">
        <f>$D21*Phasing!C10</f>
        <v>0</v>
      </c>
      <c r="F21" s="232">
        <f>$D21*Phasing!D10</f>
        <v>0</v>
      </c>
      <c r="G21" s="232">
        <f>$D21*Phasing!E10</f>
        <v>0</v>
      </c>
      <c r="H21" s="232">
        <f>$D21*Phasing!F10</f>
        <v>0</v>
      </c>
      <c r="I21" s="232">
        <f>$D21*Phasing!G10</f>
        <v>0</v>
      </c>
      <c r="J21" s="232">
        <f>$D21*Phasing!H10</f>
        <v>0</v>
      </c>
      <c r="K21" s="232">
        <f>$D21*Phasing!I10</f>
        <v>0</v>
      </c>
      <c r="L21" s="232">
        <f>$D21*Phasing!J10</f>
        <v>0</v>
      </c>
      <c r="M21" s="232">
        <f>$D21*Phasing!K10</f>
        <v>0</v>
      </c>
      <c r="N21" s="232">
        <f>$D21*Phasing!L10</f>
        <v>0</v>
      </c>
      <c r="O21" s="232">
        <f>$D21*Phasing!M10</f>
        <v>0</v>
      </c>
      <c r="P21" s="4">
        <f>SUM(E21:O21)</f>
        <v>0</v>
      </c>
      <c r="Q21" s="77">
        <f t="shared" si="6"/>
        <v>0</v>
      </c>
    </row>
    <row r="22" spans="2:17" x14ac:dyDescent="0.25">
      <c r="B22" s="285" t="str">
        <f>STN_6</f>
        <v>KMS</v>
      </c>
      <c r="C22" s="386" t="str">
        <f t="shared" si="5"/>
        <v>Distribution system assets</v>
      </c>
      <c r="D22" s="384">
        <f>SUMIFS(KMS_Det!$P$116:$P$124,KMS_Det!$D$116:$D$124,C22)</f>
        <v>0</v>
      </c>
      <c r="E22" s="232">
        <f>$D22*Phasing!C11</f>
        <v>0</v>
      </c>
      <c r="F22" s="232">
        <f>$D22*Phasing!D11</f>
        <v>0</v>
      </c>
      <c r="G22" s="232">
        <f>$D22*Phasing!E11</f>
        <v>0</v>
      </c>
      <c r="H22" s="232">
        <f>$D22*Phasing!F11</f>
        <v>0</v>
      </c>
      <c r="I22" s="232">
        <f>$D22*Phasing!G11</f>
        <v>0</v>
      </c>
      <c r="J22" s="232">
        <f>$D22*Phasing!H11</f>
        <v>0</v>
      </c>
      <c r="K22" s="232">
        <f>$D22*Phasing!I11</f>
        <v>0</v>
      </c>
      <c r="L22" s="232">
        <f>$D22*Phasing!J11</f>
        <v>0</v>
      </c>
      <c r="M22" s="232">
        <f>$D22*Phasing!K11</f>
        <v>0</v>
      </c>
      <c r="N22" s="232">
        <f>$D22*Phasing!L11</f>
        <v>0</v>
      </c>
      <c r="O22" s="232">
        <f>$D22*Phasing!M11</f>
        <v>0</v>
      </c>
      <c r="P22" s="4">
        <f>SUM(E22:O22)</f>
        <v>0</v>
      </c>
      <c r="Q22" s="77">
        <f t="shared" si="6"/>
        <v>0</v>
      </c>
    </row>
    <row r="23" spans="2:17" x14ac:dyDescent="0.25">
      <c r="B23" s="285" t="str">
        <f>STN_7</f>
        <v>WGI</v>
      </c>
      <c r="C23" s="386" t="str">
        <f t="shared" si="5"/>
        <v>Distribution system assets</v>
      </c>
      <c r="D23" s="384">
        <f>SUMIFS(WGI_Det!$P$97:$P$106,WGI_Det!$D$97:$D$106,C23)</f>
        <v>482.32410084535934</v>
      </c>
      <c r="E23" s="232">
        <f>$D23*Phasing!C12</f>
        <v>0</v>
      </c>
      <c r="F23" s="232">
        <f>$D23*Phasing!D12</f>
        <v>48.232410084535914</v>
      </c>
      <c r="G23" s="232">
        <f>$D23*Phasing!E12</f>
        <v>120.58102521133981</v>
      </c>
      <c r="H23" s="232">
        <f>$D23*Phasing!F12</f>
        <v>192.92964033814371</v>
      </c>
      <c r="I23" s="232">
        <f>$D23*Phasing!G12</f>
        <v>102.49387142963886</v>
      </c>
      <c r="J23" s="232">
        <f>$D23*Phasing!H12</f>
        <v>12.058102521133982</v>
      </c>
      <c r="K23" s="232">
        <f>$D23*Phasing!I12</f>
        <v>6.029051260566991</v>
      </c>
      <c r="L23" s="232">
        <f>$D23*Phasing!J12</f>
        <v>0</v>
      </c>
      <c r="M23" s="232">
        <f>$D23*Phasing!K12</f>
        <v>0</v>
      </c>
      <c r="N23" s="232">
        <f>$D23*Phasing!L12</f>
        <v>0</v>
      </c>
      <c r="O23" s="232">
        <f>$D23*Phasing!M12</f>
        <v>0</v>
      </c>
      <c r="P23" s="4">
        <f>SUM(E23:O23)</f>
        <v>482.32410084535923</v>
      </c>
      <c r="Q23" s="77">
        <f t="shared" si="6"/>
        <v>0</v>
      </c>
    </row>
    <row r="24" spans="2:17" x14ac:dyDescent="0.25">
      <c r="B24" s="285" t="str">
        <f>STN_8</f>
        <v>BGE</v>
      </c>
      <c r="C24" s="386" t="str">
        <f t="shared" si="5"/>
        <v>Distribution system assets</v>
      </c>
      <c r="D24" s="384">
        <f>SUMIFS(BGE_Det!$P$112:$P$126,BGE_Det!$D$112:$D$126,C24)</f>
        <v>2555.6567458290601</v>
      </c>
      <c r="E24" s="232">
        <f>$D24*Phasing!C13</f>
        <v>0</v>
      </c>
      <c r="F24" s="232">
        <f>$D24*Phasing!D13</f>
        <v>255.56567458290598</v>
      </c>
      <c r="G24" s="232">
        <f>$D24*Phasing!E13</f>
        <v>638.91418645726515</v>
      </c>
      <c r="H24" s="232">
        <f>$D24*Phasing!F13</f>
        <v>1022.2626983316243</v>
      </c>
      <c r="I24" s="232">
        <f>$D24*Phasing!G13</f>
        <v>543.07705848867545</v>
      </c>
      <c r="J24" s="232">
        <f>$D24*Phasing!H13</f>
        <v>63.891418645726517</v>
      </c>
      <c r="K24" s="232">
        <f>$D24*Phasing!I13</f>
        <v>31.945709322863259</v>
      </c>
      <c r="L24" s="232">
        <f>$D24*Phasing!J13</f>
        <v>0</v>
      </c>
      <c r="M24" s="232">
        <f>$D24*Phasing!K13</f>
        <v>0</v>
      </c>
      <c r="N24" s="232">
        <f>$D24*Phasing!L13</f>
        <v>0</v>
      </c>
      <c r="O24" s="232">
        <f>$D24*Phasing!M13</f>
        <v>0</v>
      </c>
      <c r="P24" s="4">
        <f>SUM(E24:O24)</f>
        <v>2555.6567458290606</v>
      </c>
      <c r="Q24" s="77">
        <f t="shared" si="6"/>
        <v>0</v>
      </c>
    </row>
    <row r="25" spans="2:17" x14ac:dyDescent="0.25">
      <c r="B25" s="285" t="str">
        <f>STN_9</f>
        <v>LDL</v>
      </c>
      <c r="C25" s="386" t="str">
        <f t="shared" si="5"/>
        <v>Distribution system assets</v>
      </c>
      <c r="D25" s="384">
        <f>SUMIFS(LDL_Det!$P$96:$P$105,LDL_Det!$D$96:$D$105,C25)</f>
        <v>868.21295905923603</v>
      </c>
      <c r="E25" s="232">
        <f>$D25*Phasing!C14</f>
        <v>0</v>
      </c>
      <c r="F25" s="232">
        <f>$D25*Phasing!D14</f>
        <v>0</v>
      </c>
      <c r="G25" s="232">
        <f>$D25*Phasing!E14</f>
        <v>223.2767140608365</v>
      </c>
      <c r="H25" s="232">
        <f>$D25*Phasing!F14</f>
        <v>429.95749666559971</v>
      </c>
      <c r="I25" s="232">
        <f>$D25*Phasing!G14</f>
        <v>214.97874833279985</v>
      </c>
      <c r="J25" s="232">
        <f>$D25*Phasing!H14</f>
        <v>0</v>
      </c>
      <c r="K25" s="232">
        <f>$D25*Phasing!I14</f>
        <v>0</v>
      </c>
      <c r="L25" s="232">
        <f>$D25*Phasing!J14</f>
        <v>0</v>
      </c>
      <c r="M25" s="232">
        <f>$D25*Phasing!K14</f>
        <v>0</v>
      </c>
      <c r="N25" s="232">
        <f>$D25*Phasing!L14</f>
        <v>0</v>
      </c>
      <c r="O25" s="232">
        <f>$D25*Phasing!M14</f>
        <v>0</v>
      </c>
      <c r="P25" s="4">
        <f>SUM(E25:O25)</f>
        <v>868.21295905923603</v>
      </c>
      <c r="Q25" s="77">
        <f t="shared" si="6"/>
        <v>0</v>
      </c>
    </row>
    <row r="26" spans="2:17" x14ac:dyDescent="0.25">
      <c r="B26" s="286" t="s">
        <v>8</v>
      </c>
      <c r="C26" s="286"/>
      <c r="D26" s="286"/>
      <c r="E26" s="284">
        <f t="shared" ref="E26:Q26" si="7">SUM(E17:E25)</f>
        <v>0</v>
      </c>
      <c r="F26" s="284">
        <f t="shared" si="7"/>
        <v>483.76253670282767</v>
      </c>
      <c r="G26" s="284">
        <f t="shared" si="7"/>
        <v>1206.7958457038587</v>
      </c>
      <c r="H26" s="284">
        <f t="shared" si="7"/>
        <v>1913.2332232488161</v>
      </c>
      <c r="I26" s="284">
        <f t="shared" si="7"/>
        <v>1017.0869287122616</v>
      </c>
      <c r="J26" s="284">
        <f t="shared" si="7"/>
        <v>120.94063417570695</v>
      </c>
      <c r="K26" s="284">
        <f t="shared" si="7"/>
        <v>60.470317087853473</v>
      </c>
      <c r="L26" s="284">
        <f t="shared" si="7"/>
        <v>0</v>
      </c>
      <c r="M26" s="284">
        <f t="shared" si="7"/>
        <v>0</v>
      </c>
      <c r="N26" s="284">
        <f t="shared" si="7"/>
        <v>0</v>
      </c>
      <c r="O26" s="284">
        <f t="shared" si="7"/>
        <v>0</v>
      </c>
      <c r="P26" s="284">
        <f t="shared" si="7"/>
        <v>4802.2894856313251</v>
      </c>
      <c r="Q26" s="77">
        <f t="shared" si="7"/>
        <v>0</v>
      </c>
    </row>
    <row r="27" spans="2:17" x14ac:dyDescent="0.25"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5"/>
      <c r="P27" s="165"/>
    </row>
    <row r="28" spans="2:17" ht="30" x14ac:dyDescent="0.25">
      <c r="B28" s="383" t="s">
        <v>2</v>
      </c>
      <c r="C28" s="383"/>
      <c r="D28" s="388" t="s">
        <v>26</v>
      </c>
      <c r="E28" s="9" t="s">
        <v>17</v>
      </c>
      <c r="F28" s="9" t="s">
        <v>18</v>
      </c>
      <c r="G28" s="9" t="s">
        <v>19</v>
      </c>
      <c r="H28" s="9" t="s">
        <v>9</v>
      </c>
      <c r="I28" s="9" t="s">
        <v>10</v>
      </c>
      <c r="J28" s="9" t="s">
        <v>11</v>
      </c>
      <c r="K28" s="9" t="s">
        <v>12</v>
      </c>
      <c r="L28" s="9" t="s">
        <v>13</v>
      </c>
      <c r="M28" s="9" t="s">
        <v>14</v>
      </c>
      <c r="N28" s="9" t="s">
        <v>15</v>
      </c>
      <c r="O28" s="9" t="s">
        <v>16</v>
      </c>
      <c r="P28" s="9" t="s">
        <v>8</v>
      </c>
      <c r="Q28" s="9" t="s">
        <v>407</v>
      </c>
    </row>
    <row r="29" spans="2:17" x14ac:dyDescent="0.25">
      <c r="B29" s="285" t="str">
        <f>STN_1</f>
        <v>&lt;Spare&gt;</v>
      </c>
      <c r="C29" s="386" t="str">
        <f>$B$28</f>
        <v>SCADA/Network control</v>
      </c>
      <c r="D29" s="384">
        <f>SUMIFS(Spare_Det!$P$122:$P$138,Spare_Det!$D$122:$D$138,B$28)</f>
        <v>0</v>
      </c>
      <c r="E29" s="399">
        <f>$D29*Phasing!C6</f>
        <v>0</v>
      </c>
      <c r="F29" s="399">
        <f>$D29*Phasing!D6</f>
        <v>0</v>
      </c>
      <c r="G29" s="399">
        <f>$D29*Phasing!E6</f>
        <v>0</v>
      </c>
      <c r="H29" s="399">
        <f>$D29*Phasing!F6</f>
        <v>0</v>
      </c>
      <c r="I29" s="399">
        <f>$D29*Phasing!G6</f>
        <v>0</v>
      </c>
      <c r="J29" s="399">
        <f>$D29*Phasing!H6</f>
        <v>0</v>
      </c>
      <c r="K29" s="399">
        <f>$D29*Phasing!I6</f>
        <v>0</v>
      </c>
      <c r="L29" s="399">
        <f>$D29*Phasing!J6</f>
        <v>0</v>
      </c>
      <c r="M29" s="399">
        <f>$D29*Phasing!K6</f>
        <v>0</v>
      </c>
      <c r="N29" s="399">
        <f>$D29*Phasing!L6</f>
        <v>0</v>
      </c>
      <c r="O29" s="399">
        <f>$D29*Phasing!M6</f>
        <v>0</v>
      </c>
      <c r="P29" s="4">
        <f t="shared" ref="P29:P32" si="8">SUM(E29:O29)</f>
        <v>0</v>
      </c>
      <c r="Q29" s="77">
        <f>P29-D29</f>
        <v>0</v>
      </c>
    </row>
    <row r="30" spans="2:17" x14ac:dyDescent="0.25">
      <c r="B30" s="285" t="str">
        <f>STN_2</f>
        <v>WOTS</v>
      </c>
      <c r="C30" s="386" t="str">
        <f t="shared" ref="C30:C37" si="9">$B$28</f>
        <v>SCADA/Network control</v>
      </c>
      <c r="D30" s="384">
        <f>SUMIFS(WOTS_Det!$P$115:$P$131,WOTS_Det!$D$115:$D$131,C30)</f>
        <v>3954.0939874822807</v>
      </c>
      <c r="E30" s="399">
        <f>$D30*Phasing!C7</f>
        <v>0</v>
      </c>
      <c r="F30" s="399">
        <f>$D30*Phasing!D7</f>
        <v>794.10756431157461</v>
      </c>
      <c r="G30" s="399">
        <f>$D30*Phasing!E7</f>
        <v>988.52349687057017</v>
      </c>
      <c r="H30" s="399">
        <f>$D30*Phasing!F7</f>
        <v>1182.9394294295657</v>
      </c>
      <c r="I30" s="399">
        <f>$D30*Phasing!G7</f>
        <v>690.73316025372969</v>
      </c>
      <c r="J30" s="399">
        <f>$D30*Phasing!H7</f>
        <v>198.52689107789365</v>
      </c>
      <c r="K30" s="399">
        <f>$D30*Phasing!I7</f>
        <v>99.263445538946826</v>
      </c>
      <c r="L30" s="399">
        <f>$D30*Phasing!J7</f>
        <v>0</v>
      </c>
      <c r="M30" s="399">
        <f>$D30*Phasing!K7</f>
        <v>0</v>
      </c>
      <c r="N30" s="399">
        <f>$D30*Phasing!L7</f>
        <v>0</v>
      </c>
      <c r="O30" s="399">
        <f>$D30*Phasing!M7</f>
        <v>0</v>
      </c>
      <c r="P30" s="4">
        <f t="shared" si="8"/>
        <v>3954.0939874822807</v>
      </c>
      <c r="Q30" s="77">
        <f t="shared" ref="Q30:Q37" si="10">P30-D30</f>
        <v>0</v>
      </c>
    </row>
    <row r="31" spans="2:17" x14ac:dyDescent="0.25">
      <c r="B31" s="285" t="str">
        <f>STN_3</f>
        <v>BDL</v>
      </c>
      <c r="C31" s="386" t="str">
        <f t="shared" si="9"/>
        <v>SCADA/Network control</v>
      </c>
      <c r="D31" s="384">
        <f>SUMIFS(BDL_Det!$P$128:$P$144,BDL_Det!$D$128:$D$144,C31)</f>
        <v>2171.78105603828</v>
      </c>
      <c r="E31" s="399">
        <f>$D31*Phasing!C8</f>
        <v>0</v>
      </c>
      <c r="F31" s="399">
        <f>$D31*Phasing!D8</f>
        <v>398.34379732919189</v>
      </c>
      <c r="G31" s="399">
        <f>$D31*Phasing!E8</f>
        <v>464.70697362225275</v>
      </c>
      <c r="H31" s="399">
        <f>$D31*Phasing!F8</f>
        <v>531.07014991531355</v>
      </c>
      <c r="I31" s="399">
        <f>$D31*Phasing!G8</f>
        <v>393.56634001112303</v>
      </c>
      <c r="J31" s="399">
        <f>$D31*Phasing!H8</f>
        <v>256.06253010693257</v>
      </c>
      <c r="K31" s="399">
        <f>$D31*Phasing!I8</f>
        <v>128.03126505346629</v>
      </c>
      <c r="L31" s="399">
        <f>$D31*Phasing!J8</f>
        <v>0</v>
      </c>
      <c r="M31" s="399">
        <f>$D31*Phasing!K8</f>
        <v>0</v>
      </c>
      <c r="N31" s="399">
        <f>$D31*Phasing!L8</f>
        <v>0</v>
      </c>
      <c r="O31" s="399">
        <f>$D31*Phasing!M8</f>
        <v>0</v>
      </c>
      <c r="P31" s="4">
        <f t="shared" si="8"/>
        <v>2171.78105603828</v>
      </c>
      <c r="Q31" s="77">
        <f t="shared" si="10"/>
        <v>0</v>
      </c>
    </row>
    <row r="32" spans="2:17" x14ac:dyDescent="0.25">
      <c r="B32" s="285" t="str">
        <f>STN_4</f>
        <v>ELM</v>
      </c>
      <c r="C32" s="386" t="str">
        <f t="shared" si="9"/>
        <v>SCADA/Network control</v>
      </c>
      <c r="D32" s="384">
        <f>SUMIFS(ELM_Det!$P$122:$P$138,ELM_Det!$D$122:$D$138,C32)</f>
        <v>1907.2588514031834</v>
      </c>
      <c r="E32" s="399">
        <f>$D32*Phasing!C9</f>
        <v>0</v>
      </c>
      <c r="F32" s="399">
        <f>$D32*Phasing!D9</f>
        <v>365.89781214101498</v>
      </c>
      <c r="G32" s="399">
        <f>$D32*Phasing!E9</f>
        <v>408.91384467616746</v>
      </c>
      <c r="H32" s="399">
        <f>$D32*Phasing!F9</f>
        <v>451.92987721131988</v>
      </c>
      <c r="I32" s="399">
        <f>$D32*Phasing!G9</f>
        <v>339.60303329791526</v>
      </c>
      <c r="J32" s="399">
        <f>$D32*Phasing!H9</f>
        <v>227.27618938451059</v>
      </c>
      <c r="K32" s="399">
        <f>$D32*Phasing!I9</f>
        <v>113.63809469225529</v>
      </c>
      <c r="L32" s="399">
        <f>$D32*Phasing!J9</f>
        <v>0</v>
      </c>
      <c r="M32" s="399">
        <f>$D32*Phasing!K9</f>
        <v>0</v>
      </c>
      <c r="N32" s="399">
        <f>$D32*Phasing!L9</f>
        <v>0</v>
      </c>
      <c r="O32" s="399">
        <f>$D32*Phasing!M9</f>
        <v>0</v>
      </c>
      <c r="P32" s="4">
        <f t="shared" si="8"/>
        <v>1907.2588514031836</v>
      </c>
      <c r="Q32" s="77">
        <f t="shared" si="10"/>
        <v>0</v>
      </c>
    </row>
    <row r="33" spans="2:17" x14ac:dyDescent="0.25">
      <c r="B33" s="285" t="str">
        <f>STN_5</f>
        <v>RWN</v>
      </c>
      <c r="C33" s="386" t="str">
        <f t="shared" si="9"/>
        <v>SCADA/Network control</v>
      </c>
      <c r="D33" s="384">
        <f>SUMIFS(RWN_Det!$P$119:$P$127,RWN_Det!$D$119:$D$127,C33)</f>
        <v>2174.4455183793834</v>
      </c>
      <c r="E33" s="232">
        <f>$D33*Phasing!C10</f>
        <v>0</v>
      </c>
      <c r="F33" s="232">
        <f>$D33*Phasing!D10</f>
        <v>0</v>
      </c>
      <c r="G33" s="232">
        <f>$D33*Phasing!E10</f>
        <v>0</v>
      </c>
      <c r="H33" s="232">
        <f>$D33*Phasing!F10</f>
        <v>0</v>
      </c>
      <c r="I33" s="232">
        <f>$D33*Phasing!G10</f>
        <v>0</v>
      </c>
      <c r="J33" s="232">
        <f>$D33*Phasing!H10</f>
        <v>0</v>
      </c>
      <c r="K33" s="232">
        <f>$D33*Phasing!I10</f>
        <v>271.80568979742293</v>
      </c>
      <c r="L33" s="232">
        <f>$D33*Phasing!J10</f>
        <v>543.61137959484586</v>
      </c>
      <c r="M33" s="232">
        <f>$D33*Phasing!K10</f>
        <v>543.61137959484586</v>
      </c>
      <c r="N33" s="232">
        <f>$D33*Phasing!L10</f>
        <v>543.61137959484586</v>
      </c>
      <c r="O33" s="232">
        <f>$D33*Phasing!M10</f>
        <v>271.80568979742293</v>
      </c>
      <c r="P33" s="4">
        <f>SUM(E33:O33)</f>
        <v>2174.4455183793834</v>
      </c>
      <c r="Q33" s="77">
        <f t="shared" si="10"/>
        <v>0</v>
      </c>
    </row>
    <row r="34" spans="2:17" x14ac:dyDescent="0.25">
      <c r="B34" s="285" t="str">
        <f>STN_6</f>
        <v>KMS</v>
      </c>
      <c r="C34" s="386" t="str">
        <f t="shared" si="9"/>
        <v>SCADA/Network control</v>
      </c>
      <c r="D34" s="384">
        <f>SUMIFS(KMS_Det!$P$116:$P$124,KMS_Det!$D$116:$D$124,C34)</f>
        <v>1581.9330427898653</v>
      </c>
      <c r="E34" s="232">
        <f>$D34*Phasing!C11</f>
        <v>0</v>
      </c>
      <c r="F34" s="232">
        <f>$D34*Phasing!D11</f>
        <v>790.96652139493267</v>
      </c>
      <c r="G34" s="232">
        <f>$D34*Phasing!E11</f>
        <v>494.35407587183295</v>
      </c>
      <c r="H34" s="232">
        <f>$D34*Phasing!F11</f>
        <v>197.74163034873317</v>
      </c>
      <c r="I34" s="232">
        <f>$D34*Phasing!G11</f>
        <v>98.870815174366584</v>
      </c>
      <c r="J34" s="232">
        <f>$D34*Phasing!H11</f>
        <v>0</v>
      </c>
      <c r="K34" s="232">
        <f>$D34*Phasing!I11</f>
        <v>0</v>
      </c>
      <c r="L34" s="232">
        <f>$D34*Phasing!J11</f>
        <v>0</v>
      </c>
      <c r="M34" s="232">
        <f>$D34*Phasing!K11</f>
        <v>0</v>
      </c>
      <c r="N34" s="232">
        <f>$D34*Phasing!L11</f>
        <v>0</v>
      </c>
      <c r="O34" s="232">
        <f>$D34*Phasing!M11</f>
        <v>0</v>
      </c>
      <c r="P34" s="4">
        <f>SUM(E34:O34)</f>
        <v>1581.9330427898653</v>
      </c>
      <c r="Q34" s="77">
        <f t="shared" si="10"/>
        <v>0</v>
      </c>
    </row>
    <row r="35" spans="2:17" x14ac:dyDescent="0.25">
      <c r="B35" s="285" t="str">
        <f>STN_7</f>
        <v>WGI</v>
      </c>
      <c r="C35" s="386" t="str">
        <f t="shared" si="9"/>
        <v>SCADA/Network control</v>
      </c>
      <c r="D35" s="384">
        <f>SUMIFS(WGI_Det!$P$97:$P$106,WGI_Det!$D$97:$D$106,C35)</f>
        <v>1870.8156747467872</v>
      </c>
      <c r="E35" s="232">
        <f>$D35*Phasing!C12</f>
        <v>0</v>
      </c>
      <c r="F35" s="232">
        <f>$D35*Phasing!D12</f>
        <v>187.08156747467865</v>
      </c>
      <c r="G35" s="232">
        <f>$D35*Phasing!E12</f>
        <v>467.70391868669668</v>
      </c>
      <c r="H35" s="232">
        <f>$D35*Phasing!F12</f>
        <v>748.32626989871483</v>
      </c>
      <c r="I35" s="232">
        <f>$D35*Phasing!G12</f>
        <v>397.54833088369224</v>
      </c>
      <c r="J35" s="232">
        <f>$D35*Phasing!H12</f>
        <v>46.770391868669677</v>
      </c>
      <c r="K35" s="232">
        <f>$D35*Phasing!I12</f>
        <v>23.385195934334838</v>
      </c>
      <c r="L35" s="232">
        <f>$D35*Phasing!J12</f>
        <v>0</v>
      </c>
      <c r="M35" s="232">
        <f>$D35*Phasing!K12</f>
        <v>0</v>
      </c>
      <c r="N35" s="232">
        <f>$D35*Phasing!L12</f>
        <v>0</v>
      </c>
      <c r="O35" s="232">
        <f>$D35*Phasing!M12</f>
        <v>0</v>
      </c>
      <c r="P35" s="4">
        <f>SUM(E35:O35)</f>
        <v>1870.815674746787</v>
      </c>
      <c r="Q35" s="77">
        <f t="shared" si="10"/>
        <v>0</v>
      </c>
    </row>
    <row r="36" spans="2:17" x14ac:dyDescent="0.25">
      <c r="B36" s="285" t="str">
        <f>STN_8</f>
        <v>BGE</v>
      </c>
      <c r="C36" s="386" t="str">
        <f t="shared" si="9"/>
        <v>SCADA/Network control</v>
      </c>
      <c r="D36" s="384">
        <f>SUMIFS(BGE_Det!$P$112:$P$126,BGE_Det!$D$112:$D$126,C36)</f>
        <v>2090.2565658243016</v>
      </c>
      <c r="E36" s="232">
        <f>$D36*Phasing!C13</f>
        <v>0</v>
      </c>
      <c r="F36" s="232">
        <f>$D36*Phasing!D13</f>
        <v>209.02565658243014</v>
      </c>
      <c r="G36" s="232">
        <f>$D36*Phasing!E13</f>
        <v>522.5641414560755</v>
      </c>
      <c r="H36" s="232">
        <f>$D36*Phasing!F13</f>
        <v>836.10262632972081</v>
      </c>
      <c r="I36" s="232">
        <f>$D36*Phasing!G13</f>
        <v>444.17952023766418</v>
      </c>
      <c r="J36" s="232">
        <f>$D36*Phasing!H13</f>
        <v>52.25641414560755</v>
      </c>
      <c r="K36" s="232">
        <f>$D36*Phasing!I13</f>
        <v>26.128207072803775</v>
      </c>
      <c r="L36" s="232">
        <f>$D36*Phasing!J13</f>
        <v>0</v>
      </c>
      <c r="M36" s="232">
        <f>$D36*Phasing!K13</f>
        <v>0</v>
      </c>
      <c r="N36" s="232">
        <f>$D36*Phasing!L13</f>
        <v>0</v>
      </c>
      <c r="O36" s="232">
        <f>$D36*Phasing!M13</f>
        <v>0</v>
      </c>
      <c r="P36" s="4">
        <f>SUM(E36:O36)</f>
        <v>2090.256565824302</v>
      </c>
      <c r="Q36" s="77">
        <f t="shared" si="10"/>
        <v>0</v>
      </c>
    </row>
    <row r="37" spans="2:17" x14ac:dyDescent="0.25">
      <c r="B37" s="285" t="str">
        <f>STN_9</f>
        <v>LDL</v>
      </c>
      <c r="C37" s="386" t="str">
        <f t="shared" si="9"/>
        <v>SCADA/Network control</v>
      </c>
      <c r="D37" s="384">
        <f>SUMIFS(LDL_Det!$P$96:$P$105,LDL_Det!$D$96:$D$105,C37)</f>
        <v>30.599325653204865</v>
      </c>
      <c r="E37" s="232">
        <f>$D37*Phasing!C14</f>
        <v>0</v>
      </c>
      <c r="F37" s="232">
        <f>$D37*Phasing!D14</f>
        <v>0</v>
      </c>
      <c r="G37" s="232">
        <f>$D37*Phasing!E14</f>
        <v>7.8691717429881196</v>
      </c>
      <c r="H37" s="232">
        <f>$D37*Phasing!F14</f>
        <v>15.153435940144497</v>
      </c>
      <c r="I37" s="232">
        <f>$D37*Phasing!G14</f>
        <v>7.5767179700722487</v>
      </c>
      <c r="J37" s="232">
        <f>$D37*Phasing!H14</f>
        <v>0</v>
      </c>
      <c r="K37" s="232">
        <f>$D37*Phasing!I14</f>
        <v>0</v>
      </c>
      <c r="L37" s="232">
        <f>$D37*Phasing!J14</f>
        <v>0</v>
      </c>
      <c r="M37" s="232">
        <f>$D37*Phasing!K14</f>
        <v>0</v>
      </c>
      <c r="N37" s="232">
        <f>$D37*Phasing!L14</f>
        <v>0</v>
      </c>
      <c r="O37" s="232">
        <f>$D37*Phasing!M14</f>
        <v>0</v>
      </c>
      <c r="P37" s="4">
        <f>SUM(E37:O37)</f>
        <v>30.599325653204865</v>
      </c>
      <c r="Q37" s="77">
        <f t="shared" si="10"/>
        <v>0</v>
      </c>
    </row>
    <row r="38" spans="2:17" x14ac:dyDescent="0.25">
      <c r="B38" t="s">
        <v>8</v>
      </c>
      <c r="E38" s="284">
        <f t="shared" ref="E38:O38" si="11">SUM(E29:E37)</f>
        <v>0</v>
      </c>
      <c r="F38" s="284">
        <f t="shared" si="11"/>
        <v>2745.422919233823</v>
      </c>
      <c r="G38" s="284">
        <f t="shared" si="11"/>
        <v>3354.6356229265839</v>
      </c>
      <c r="H38" s="284">
        <f t="shared" si="11"/>
        <v>3963.2634190735121</v>
      </c>
      <c r="I38" s="284">
        <f t="shared" si="11"/>
        <v>2372.0779178285634</v>
      </c>
      <c r="J38" s="284">
        <f t="shared" si="11"/>
        <v>780.89241658361402</v>
      </c>
      <c r="K38" s="284">
        <f t="shared" si="11"/>
        <v>662.25189808922994</v>
      </c>
      <c r="L38" s="284">
        <f t="shared" si="11"/>
        <v>543.61137959484586</v>
      </c>
      <c r="M38" s="284">
        <f t="shared" si="11"/>
        <v>543.61137959484586</v>
      </c>
      <c r="N38" s="284">
        <f t="shared" si="11"/>
        <v>543.61137959484586</v>
      </c>
      <c r="O38" s="284">
        <f t="shared" si="11"/>
        <v>271.80568979742293</v>
      </c>
      <c r="P38" s="284">
        <f>SUM(P29:P37)</f>
        <v>15781.184022317288</v>
      </c>
      <c r="Q38" s="77">
        <f>SUM(Q29:Q37)</f>
        <v>0</v>
      </c>
    </row>
    <row r="40" spans="2:17" ht="30" x14ac:dyDescent="0.25">
      <c r="B40" s="3" t="s">
        <v>4</v>
      </c>
      <c r="C40" s="3"/>
      <c r="D40" s="388" t="s">
        <v>26</v>
      </c>
      <c r="E40" s="9" t="s">
        <v>17</v>
      </c>
      <c r="F40" s="9" t="s">
        <v>18</v>
      </c>
      <c r="G40" s="9" t="s">
        <v>19</v>
      </c>
      <c r="H40" s="9" t="s">
        <v>9</v>
      </c>
      <c r="I40" s="9" t="s">
        <v>10</v>
      </c>
      <c r="J40" s="9" t="s">
        <v>11</v>
      </c>
      <c r="K40" s="9" t="s">
        <v>12</v>
      </c>
      <c r="L40" s="9" t="s">
        <v>13</v>
      </c>
      <c r="M40" s="9" t="s">
        <v>14</v>
      </c>
      <c r="N40" s="9" t="s">
        <v>15</v>
      </c>
      <c r="O40" s="9" t="s">
        <v>16</v>
      </c>
      <c r="P40" s="9" t="s">
        <v>8</v>
      </c>
      <c r="Q40" s="9" t="s">
        <v>407</v>
      </c>
    </row>
    <row r="41" spans="2:17" x14ac:dyDescent="0.25">
      <c r="B41" s="285" t="str">
        <f>STN_1</f>
        <v>&lt;Spare&gt;</v>
      </c>
      <c r="C41" s="386" t="str">
        <f>$B$40</f>
        <v>Land</v>
      </c>
      <c r="D41" s="384">
        <f>SUMIFS(Spare_Det!$P$122:$P$138,Spare_Det!$D$122:$D$138,B$40)</f>
        <v>0</v>
      </c>
      <c r="E41" s="399">
        <v>0</v>
      </c>
      <c r="F41" s="399">
        <v>0</v>
      </c>
      <c r="G41" s="399">
        <v>0</v>
      </c>
      <c r="H41" s="399">
        <v>0</v>
      </c>
      <c r="I41" s="399">
        <v>0</v>
      </c>
      <c r="J41" s="399">
        <v>0</v>
      </c>
      <c r="K41" s="399">
        <v>0</v>
      </c>
      <c r="L41" s="399">
        <v>0</v>
      </c>
      <c r="M41" s="399">
        <v>0</v>
      </c>
      <c r="N41" s="399">
        <v>0</v>
      </c>
      <c r="O41" s="399">
        <v>0</v>
      </c>
      <c r="P41" s="4">
        <f t="shared" ref="P41:P44" si="12">SUM(E41:O41)</f>
        <v>0</v>
      </c>
      <c r="Q41" s="77">
        <f>P41-D41</f>
        <v>0</v>
      </c>
    </row>
    <row r="42" spans="2:17" x14ac:dyDescent="0.25">
      <c r="B42" s="285" t="str">
        <f>STN_2</f>
        <v>WOTS</v>
      </c>
      <c r="C42" s="386" t="str">
        <f t="shared" ref="C42:C49" si="13">$B$40</f>
        <v>Land</v>
      </c>
      <c r="D42" s="384">
        <f>SUMIFS(WOTS_Det!$P$115:$P$131,WOTS_Det!$D$115:$D$131,C42)</f>
        <v>270.07173217427049</v>
      </c>
      <c r="E42" s="399">
        <v>0</v>
      </c>
      <c r="F42" s="399">
        <f>D42</f>
        <v>270.07173217427049</v>
      </c>
      <c r="G42" s="399">
        <v>0</v>
      </c>
      <c r="H42" s="399">
        <v>0</v>
      </c>
      <c r="I42" s="399">
        <v>0</v>
      </c>
      <c r="J42" s="399">
        <v>0</v>
      </c>
      <c r="K42" s="399">
        <v>0</v>
      </c>
      <c r="L42" s="399">
        <v>0</v>
      </c>
      <c r="M42" s="399">
        <v>0</v>
      </c>
      <c r="N42" s="399">
        <v>0</v>
      </c>
      <c r="O42" s="399">
        <v>0</v>
      </c>
      <c r="P42" s="4">
        <f t="shared" si="12"/>
        <v>270.07173217427049</v>
      </c>
      <c r="Q42" s="77">
        <f t="shared" ref="Q42:Q49" si="14">P42-D42</f>
        <v>0</v>
      </c>
    </row>
    <row r="43" spans="2:17" x14ac:dyDescent="0.25">
      <c r="B43" s="285" t="str">
        <f>STN_3</f>
        <v>BDL</v>
      </c>
      <c r="C43" s="386" t="str">
        <f t="shared" si="13"/>
        <v>Land</v>
      </c>
      <c r="D43" s="384">
        <f>SUMIFS(BDL_Det!$P$128:$P$144,BDL_Det!$D$128:$D$144,C43)</f>
        <v>0</v>
      </c>
      <c r="E43" s="399">
        <v>0</v>
      </c>
      <c r="F43" s="399">
        <v>0</v>
      </c>
      <c r="G43" s="399">
        <v>0</v>
      </c>
      <c r="H43" s="399">
        <v>0</v>
      </c>
      <c r="I43" s="399">
        <v>0</v>
      </c>
      <c r="J43" s="399">
        <v>0</v>
      </c>
      <c r="K43" s="399">
        <v>0</v>
      </c>
      <c r="L43" s="399">
        <v>0</v>
      </c>
      <c r="M43" s="399">
        <v>0</v>
      </c>
      <c r="N43" s="399">
        <v>0</v>
      </c>
      <c r="O43" s="399">
        <v>0</v>
      </c>
      <c r="P43" s="4">
        <f t="shared" si="12"/>
        <v>0</v>
      </c>
      <c r="Q43" s="77">
        <f t="shared" si="14"/>
        <v>0</v>
      </c>
    </row>
    <row r="44" spans="2:17" x14ac:dyDescent="0.25">
      <c r="B44" s="285" t="str">
        <f>STN_4</f>
        <v>ELM</v>
      </c>
      <c r="C44" s="386" t="str">
        <f t="shared" si="13"/>
        <v>Land</v>
      </c>
      <c r="D44" s="384">
        <f>SUMIFS(ELM_Det!$P$122:$P$138,ELM_Det!$D$122:$D$138,C44)</f>
        <v>0</v>
      </c>
      <c r="E44" s="399">
        <v>0</v>
      </c>
      <c r="F44" s="399">
        <v>0</v>
      </c>
      <c r="G44" s="399">
        <v>0</v>
      </c>
      <c r="H44" s="399">
        <v>0</v>
      </c>
      <c r="I44" s="399">
        <v>0</v>
      </c>
      <c r="J44" s="399">
        <v>0</v>
      </c>
      <c r="K44" s="399">
        <v>0</v>
      </c>
      <c r="L44" s="399">
        <v>0</v>
      </c>
      <c r="M44" s="399">
        <v>0</v>
      </c>
      <c r="N44" s="399">
        <v>0</v>
      </c>
      <c r="O44" s="399">
        <v>0</v>
      </c>
      <c r="P44" s="4">
        <f t="shared" si="12"/>
        <v>0</v>
      </c>
      <c r="Q44" s="77">
        <f t="shared" si="14"/>
        <v>0</v>
      </c>
    </row>
    <row r="45" spans="2:17" x14ac:dyDescent="0.25">
      <c r="B45" s="285" t="str">
        <f>STN_5</f>
        <v>RWN</v>
      </c>
      <c r="C45" s="386" t="str">
        <f t="shared" si="13"/>
        <v>Land</v>
      </c>
      <c r="D45" s="384">
        <f>SUMIFS(RWN_Det!$P$119:$P$127,RWN_Det!$D$119:$D$127,C45)</f>
        <v>0</v>
      </c>
      <c r="E45" s="399">
        <v>0</v>
      </c>
      <c r="F45" s="399">
        <v>0</v>
      </c>
      <c r="G45" s="399">
        <v>0</v>
      </c>
      <c r="H45" s="399">
        <v>0</v>
      </c>
      <c r="I45" s="399">
        <v>0</v>
      </c>
      <c r="J45" s="399">
        <v>0</v>
      </c>
      <c r="K45" s="399">
        <v>0</v>
      </c>
      <c r="L45" s="399">
        <v>0</v>
      </c>
      <c r="M45" s="399">
        <v>0</v>
      </c>
      <c r="N45" s="399">
        <v>0</v>
      </c>
      <c r="O45" s="399">
        <v>0</v>
      </c>
      <c r="P45" s="4">
        <f t="shared" ref="P45:P49" si="15">SUM(E45:O45)</f>
        <v>0</v>
      </c>
      <c r="Q45" s="77">
        <f t="shared" si="14"/>
        <v>0</v>
      </c>
    </row>
    <row r="46" spans="2:17" x14ac:dyDescent="0.25">
      <c r="B46" s="285" t="str">
        <f>STN_6</f>
        <v>KMS</v>
      </c>
      <c r="C46" s="386" t="str">
        <f t="shared" si="13"/>
        <v>Land</v>
      </c>
      <c r="D46" s="384">
        <f>SUMIFS(KMS_Det!$P$116:$P$124,KMS_Det!$D$116:$D$124,C46)</f>
        <v>0</v>
      </c>
      <c r="E46" s="399">
        <v>0</v>
      </c>
      <c r="F46" s="399">
        <v>0</v>
      </c>
      <c r="G46" s="399">
        <v>0</v>
      </c>
      <c r="H46" s="399">
        <v>0</v>
      </c>
      <c r="I46" s="399">
        <v>0</v>
      </c>
      <c r="J46" s="399">
        <v>0</v>
      </c>
      <c r="K46" s="399">
        <v>0</v>
      </c>
      <c r="L46" s="399">
        <v>0</v>
      </c>
      <c r="M46" s="399">
        <v>0</v>
      </c>
      <c r="N46" s="399">
        <v>0</v>
      </c>
      <c r="O46" s="399">
        <v>0</v>
      </c>
      <c r="P46" s="4">
        <f t="shared" si="15"/>
        <v>0</v>
      </c>
      <c r="Q46" s="77">
        <f t="shared" si="14"/>
        <v>0</v>
      </c>
    </row>
    <row r="47" spans="2:17" x14ac:dyDescent="0.25">
      <c r="B47" s="285" t="str">
        <f>STN_7</f>
        <v>WGI</v>
      </c>
      <c r="C47" s="386" t="str">
        <f t="shared" si="13"/>
        <v>Land</v>
      </c>
      <c r="D47" s="384">
        <f>SUMIFS(WGI_Det!$P$97:$P$106,WGI_Det!$D$97:$D$106,C47)</f>
        <v>0</v>
      </c>
      <c r="E47" s="399">
        <v>0</v>
      </c>
      <c r="F47" s="399">
        <v>0</v>
      </c>
      <c r="G47" s="399">
        <v>0</v>
      </c>
      <c r="H47" s="399">
        <v>0</v>
      </c>
      <c r="I47" s="399">
        <v>0</v>
      </c>
      <c r="J47" s="399">
        <v>0</v>
      </c>
      <c r="K47" s="399">
        <v>0</v>
      </c>
      <c r="L47" s="399">
        <v>0</v>
      </c>
      <c r="M47" s="399">
        <v>0</v>
      </c>
      <c r="N47" s="399">
        <v>0</v>
      </c>
      <c r="O47" s="399">
        <v>0</v>
      </c>
      <c r="P47" s="4">
        <f t="shared" si="15"/>
        <v>0</v>
      </c>
      <c r="Q47" s="77">
        <f t="shared" si="14"/>
        <v>0</v>
      </c>
    </row>
    <row r="48" spans="2:17" x14ac:dyDescent="0.25">
      <c r="B48" s="285" t="str">
        <f>STN_8</f>
        <v>BGE</v>
      </c>
      <c r="C48" s="386" t="str">
        <f t="shared" si="13"/>
        <v>Land</v>
      </c>
      <c r="D48" s="384">
        <f>SUMIFS(BGE_Det!$P$112:$P$126,BGE_Det!$D$112:$D$126,C48)</f>
        <v>210.82334788919908</v>
      </c>
      <c r="E48" s="399">
        <v>0</v>
      </c>
      <c r="F48" s="232">
        <f>D48</f>
        <v>210.82334788919908</v>
      </c>
      <c r="G48" s="399">
        <v>0</v>
      </c>
      <c r="H48" s="399">
        <v>0</v>
      </c>
      <c r="I48" s="399">
        <v>0</v>
      </c>
      <c r="J48" s="399">
        <v>0</v>
      </c>
      <c r="K48" s="399">
        <v>0</v>
      </c>
      <c r="L48" s="399">
        <v>0</v>
      </c>
      <c r="M48" s="399">
        <v>0</v>
      </c>
      <c r="N48" s="399">
        <v>0</v>
      </c>
      <c r="O48" s="399">
        <v>0</v>
      </c>
      <c r="P48" s="4">
        <f t="shared" si="15"/>
        <v>210.82334788919908</v>
      </c>
      <c r="Q48" s="77">
        <f t="shared" si="14"/>
        <v>0</v>
      </c>
    </row>
    <row r="49" spans="2:18" x14ac:dyDescent="0.25">
      <c r="B49" s="285" t="str">
        <f>STN_9</f>
        <v>LDL</v>
      </c>
      <c r="C49" s="386" t="str">
        <f t="shared" si="13"/>
        <v>Land</v>
      </c>
      <c r="D49" s="384">
        <f>SUMIFS(LDL_Det!$P$96:$P$105,LDL_Det!$D$96:$D$105,C49)</f>
        <v>428.39992246361146</v>
      </c>
      <c r="E49" s="399">
        <v>0</v>
      </c>
      <c r="F49" s="399">
        <v>0</v>
      </c>
      <c r="G49" s="232">
        <f>D49</f>
        <v>428.39992246361146</v>
      </c>
      <c r="H49" s="399">
        <v>0</v>
      </c>
      <c r="I49" s="399">
        <v>0</v>
      </c>
      <c r="J49" s="399">
        <v>0</v>
      </c>
      <c r="K49" s="399">
        <v>0</v>
      </c>
      <c r="L49" s="399">
        <v>0</v>
      </c>
      <c r="M49" s="399">
        <v>0</v>
      </c>
      <c r="N49" s="399">
        <v>0</v>
      </c>
      <c r="O49" s="399">
        <v>0</v>
      </c>
      <c r="P49" s="4">
        <f t="shared" si="15"/>
        <v>428.39992246361146</v>
      </c>
      <c r="Q49" s="77">
        <f t="shared" si="14"/>
        <v>0</v>
      </c>
    </row>
    <row r="50" spans="2:18" x14ac:dyDescent="0.25">
      <c r="B50" t="s">
        <v>8</v>
      </c>
      <c r="E50" s="284">
        <f t="shared" ref="E50:O50" si="16">SUM(E41:E49)</f>
        <v>0</v>
      </c>
      <c r="F50" s="284">
        <f t="shared" si="16"/>
        <v>480.89508006346955</v>
      </c>
      <c r="G50" s="284">
        <f t="shared" si="16"/>
        <v>428.39992246361146</v>
      </c>
      <c r="H50" s="284">
        <f t="shared" si="16"/>
        <v>0</v>
      </c>
      <c r="I50" s="284">
        <f t="shared" si="16"/>
        <v>0</v>
      </c>
      <c r="J50" s="284">
        <f t="shared" si="16"/>
        <v>0</v>
      </c>
      <c r="K50" s="284">
        <f t="shared" si="16"/>
        <v>0</v>
      </c>
      <c r="L50" s="284">
        <f t="shared" si="16"/>
        <v>0</v>
      </c>
      <c r="M50" s="284">
        <f t="shared" si="16"/>
        <v>0</v>
      </c>
      <c r="N50" s="284">
        <f t="shared" si="16"/>
        <v>0</v>
      </c>
      <c r="O50" s="284">
        <f t="shared" si="16"/>
        <v>0</v>
      </c>
      <c r="P50" s="284">
        <f>SUM(P41:P49)</f>
        <v>909.29500252708101</v>
      </c>
      <c r="Q50" s="77">
        <f>SUM(Q41:Q49)</f>
        <v>0</v>
      </c>
    </row>
    <row r="52" spans="2:18" ht="30" x14ac:dyDescent="0.25">
      <c r="B52" s="383" t="s">
        <v>414</v>
      </c>
      <c r="C52" s="383"/>
      <c r="D52" s="388" t="s">
        <v>26</v>
      </c>
      <c r="E52" s="9" t="s">
        <v>17</v>
      </c>
      <c r="F52" s="9" t="s">
        <v>18</v>
      </c>
      <c r="G52" s="9" t="s">
        <v>19</v>
      </c>
      <c r="H52" s="9" t="s">
        <v>9</v>
      </c>
      <c r="I52" s="9" t="s">
        <v>10</v>
      </c>
      <c r="J52" s="9" t="s">
        <v>11</v>
      </c>
      <c r="K52" s="9" t="s">
        <v>12</v>
      </c>
      <c r="L52" s="9" t="s">
        <v>13</v>
      </c>
      <c r="M52" s="9" t="s">
        <v>14</v>
      </c>
      <c r="N52" s="9" t="s">
        <v>15</v>
      </c>
      <c r="O52" s="9" t="s">
        <v>16</v>
      </c>
      <c r="P52" s="9" t="s">
        <v>8</v>
      </c>
      <c r="Q52" s="9" t="s">
        <v>407</v>
      </c>
    </row>
    <row r="53" spans="2:18" x14ac:dyDescent="0.25">
      <c r="B53" s="285" t="str">
        <f>STN_1</f>
        <v>&lt;Spare&gt;</v>
      </c>
      <c r="C53" s="285"/>
      <c r="D53" s="389">
        <f t="shared" ref="D53:O53" si="17">D5+D17+D29+D41</f>
        <v>0</v>
      </c>
      <c r="E53" s="399">
        <f t="shared" si="17"/>
        <v>0</v>
      </c>
      <c r="F53" s="399">
        <f t="shared" si="17"/>
        <v>0</v>
      </c>
      <c r="G53" s="399">
        <f t="shared" si="17"/>
        <v>0</v>
      </c>
      <c r="H53" s="399">
        <f t="shared" si="17"/>
        <v>0</v>
      </c>
      <c r="I53" s="399">
        <f t="shared" si="17"/>
        <v>0</v>
      </c>
      <c r="J53" s="399">
        <f t="shared" si="17"/>
        <v>0</v>
      </c>
      <c r="K53" s="399">
        <f t="shared" si="17"/>
        <v>0</v>
      </c>
      <c r="L53" s="399">
        <f t="shared" si="17"/>
        <v>0</v>
      </c>
      <c r="M53" s="399">
        <f t="shared" si="17"/>
        <v>0</v>
      </c>
      <c r="N53" s="399">
        <f t="shared" si="17"/>
        <v>0</v>
      </c>
      <c r="O53" s="399">
        <f t="shared" si="17"/>
        <v>0</v>
      </c>
      <c r="P53" s="4">
        <f t="shared" ref="P53:P56" si="18">SUM(E53:O53)</f>
        <v>0</v>
      </c>
      <c r="Q53" s="4">
        <f>P53-D53</f>
        <v>0</v>
      </c>
      <c r="R53" t="b">
        <f>D53=Spare_Det!P106</f>
        <v>1</v>
      </c>
    </row>
    <row r="54" spans="2:18" x14ac:dyDescent="0.25">
      <c r="B54" s="285" t="str">
        <f>STN_2</f>
        <v>WOTS</v>
      </c>
      <c r="C54" s="285"/>
      <c r="D54" s="389">
        <f t="shared" ref="D54" si="19">D6+D18+D30+D42</f>
        <v>13287.518444782672</v>
      </c>
      <c r="E54" s="399">
        <f t="shared" ref="E54:O54" si="20">E6+E18+E30+E42</f>
        <v>0</v>
      </c>
      <c r="F54" s="399">
        <f t="shared" si="20"/>
        <v>2884.3881685641118</v>
      </c>
      <c r="G54" s="399">
        <f t="shared" si="20"/>
        <v>3254.3616781521005</v>
      </c>
      <c r="H54" s="399">
        <f t="shared" si="20"/>
        <v>3894.4069199143601</v>
      </c>
      <c r="I54" s="399">
        <f t="shared" si="20"/>
        <v>2273.9930145059107</v>
      </c>
      <c r="J54" s="399">
        <f t="shared" si="20"/>
        <v>653.57910909746033</v>
      </c>
      <c r="K54" s="399">
        <f t="shared" si="20"/>
        <v>326.78955454873017</v>
      </c>
      <c r="L54" s="399">
        <f t="shared" si="20"/>
        <v>0</v>
      </c>
      <c r="M54" s="399">
        <f t="shared" si="20"/>
        <v>0</v>
      </c>
      <c r="N54" s="399">
        <f t="shared" si="20"/>
        <v>0</v>
      </c>
      <c r="O54" s="399">
        <f t="shared" si="20"/>
        <v>0</v>
      </c>
      <c r="P54" s="4">
        <f t="shared" si="18"/>
        <v>13287.518444782672</v>
      </c>
      <c r="Q54" s="4">
        <f t="shared" ref="Q54:Q61" si="21">P54-D54</f>
        <v>0</v>
      </c>
      <c r="R54" t="b">
        <f>D54=WOTS_Det!P99</f>
        <v>1</v>
      </c>
    </row>
    <row r="55" spans="2:18" x14ac:dyDescent="0.25">
      <c r="B55" s="285" t="str">
        <f>STN_3</f>
        <v>BDL</v>
      </c>
      <c r="C55" s="285"/>
      <c r="D55" s="389">
        <f t="shared" ref="D55" si="22">D7+D19+D31+D43</f>
        <v>13901.333599751508</v>
      </c>
      <c r="E55" s="399">
        <f t="shared" ref="E55:O55" si="23">E7+E19+E31+E43</f>
        <v>0</v>
      </c>
      <c r="F55" s="399">
        <f t="shared" si="23"/>
        <v>2549.7551876459943</v>
      </c>
      <c r="G55" s="399">
        <f t="shared" si="23"/>
        <v>2974.5386389170135</v>
      </c>
      <c r="H55" s="399">
        <f t="shared" si="23"/>
        <v>3399.3220901880322</v>
      </c>
      <c r="I55" s="399">
        <f t="shared" si="23"/>
        <v>2519.1752045706289</v>
      </c>
      <c r="J55" s="399">
        <f t="shared" si="23"/>
        <v>1639.0283189532258</v>
      </c>
      <c r="K55" s="399">
        <f t="shared" si="23"/>
        <v>819.51415947661292</v>
      </c>
      <c r="L55" s="399">
        <f t="shared" si="23"/>
        <v>0</v>
      </c>
      <c r="M55" s="399">
        <f t="shared" si="23"/>
        <v>0</v>
      </c>
      <c r="N55" s="399">
        <f t="shared" si="23"/>
        <v>0</v>
      </c>
      <c r="O55" s="399">
        <f t="shared" si="23"/>
        <v>0</v>
      </c>
      <c r="P55" s="4">
        <f t="shared" si="18"/>
        <v>13901.333599751508</v>
      </c>
      <c r="Q55" s="4">
        <f t="shared" si="21"/>
        <v>0</v>
      </c>
      <c r="R55" t="b">
        <f>D55=BDL_Det!P112</f>
        <v>1</v>
      </c>
    </row>
    <row r="56" spans="2:18" x14ac:dyDescent="0.25">
      <c r="B56" s="285" t="str">
        <f>STN_4</f>
        <v>ELM</v>
      </c>
      <c r="C56" s="285"/>
      <c r="D56" s="389">
        <f t="shared" ref="D56" si="24">D8+D20+D32+D44</f>
        <v>8941.0721312193127</v>
      </c>
      <c r="E56" s="399">
        <f t="shared" ref="E56:O56" si="25">E8+E20+E32+E44</f>
        <v>0</v>
      </c>
      <c r="F56" s="399">
        <f t="shared" si="25"/>
        <v>1715.2987538116654</v>
      </c>
      <c r="G56" s="399">
        <f t="shared" si="25"/>
        <v>1916.9543651686215</v>
      </c>
      <c r="H56" s="399">
        <f t="shared" si="25"/>
        <v>2118.6099765255776</v>
      </c>
      <c r="I56" s="399">
        <f t="shared" si="25"/>
        <v>1592.0310001254538</v>
      </c>
      <c r="J56" s="399">
        <f t="shared" si="25"/>
        <v>1065.45202372533</v>
      </c>
      <c r="K56" s="399">
        <f t="shared" si="25"/>
        <v>532.72601186266502</v>
      </c>
      <c r="L56" s="399">
        <f t="shared" si="25"/>
        <v>0</v>
      </c>
      <c r="M56" s="399">
        <f t="shared" si="25"/>
        <v>0</v>
      </c>
      <c r="N56" s="399">
        <f t="shared" si="25"/>
        <v>0</v>
      </c>
      <c r="O56" s="399">
        <f t="shared" si="25"/>
        <v>0</v>
      </c>
      <c r="P56" s="4">
        <f t="shared" si="18"/>
        <v>8941.0721312193127</v>
      </c>
      <c r="Q56" s="4">
        <f t="shared" si="21"/>
        <v>0</v>
      </c>
      <c r="R56" t="b">
        <f>D56=ELM_Det!P106</f>
        <v>1</v>
      </c>
    </row>
    <row r="57" spans="2:18" x14ac:dyDescent="0.25">
      <c r="B57" s="285" t="str">
        <f>STN_5</f>
        <v>RWN</v>
      </c>
      <c r="C57" s="285"/>
      <c r="D57" s="389">
        <f t="shared" ref="D57" si="26">D9+D21+D33+D45</f>
        <v>5522.0773904142752</v>
      </c>
      <c r="E57" s="232">
        <f t="shared" ref="E57:N57" si="27">E9+E21+E33+E45</f>
        <v>0</v>
      </c>
      <c r="F57" s="232">
        <f t="shared" si="27"/>
        <v>0</v>
      </c>
      <c r="G57" s="232">
        <f t="shared" si="27"/>
        <v>0</v>
      </c>
      <c r="H57" s="232">
        <f t="shared" si="27"/>
        <v>0</v>
      </c>
      <c r="I57" s="232">
        <f t="shared" si="27"/>
        <v>0</v>
      </c>
      <c r="J57" s="232">
        <f t="shared" si="27"/>
        <v>0</v>
      </c>
      <c r="K57" s="232">
        <f t="shared" si="27"/>
        <v>690.2596738017844</v>
      </c>
      <c r="L57" s="232">
        <f t="shared" si="27"/>
        <v>1380.5193476035688</v>
      </c>
      <c r="M57" s="232">
        <f t="shared" si="27"/>
        <v>1380.5193476035688</v>
      </c>
      <c r="N57" s="232">
        <f t="shared" si="27"/>
        <v>1380.5193476035688</v>
      </c>
      <c r="O57" s="232">
        <f>O9+O21+O33+O45</f>
        <v>690.2596738017844</v>
      </c>
      <c r="P57" s="4">
        <f t="shared" ref="P57:P61" si="28">SUM(E57:O57)</f>
        <v>5522.0773904142752</v>
      </c>
      <c r="Q57" s="4">
        <f t="shared" si="21"/>
        <v>0</v>
      </c>
      <c r="R57" t="b">
        <f>D57=RWN_Det!P103</f>
        <v>1</v>
      </c>
    </row>
    <row r="58" spans="2:18" x14ac:dyDescent="0.25">
      <c r="B58" s="285" t="str">
        <f>STN_6</f>
        <v>KMS</v>
      </c>
      <c r="C58" s="285"/>
      <c r="D58" s="389">
        <f t="shared" ref="D58" si="29">D10+D22+D34+D46</f>
        <v>3593.2691909293981</v>
      </c>
      <c r="E58" s="232">
        <f t="shared" ref="E58:O58" si="30">E10+E22+E34+E46</f>
        <v>0</v>
      </c>
      <c r="F58" s="232">
        <f t="shared" si="30"/>
        <v>1796.634595464699</v>
      </c>
      <c r="G58" s="232">
        <f t="shared" si="30"/>
        <v>1122.8966221654368</v>
      </c>
      <c r="H58" s="232">
        <f t="shared" si="30"/>
        <v>449.15864886617476</v>
      </c>
      <c r="I58" s="232">
        <f t="shared" si="30"/>
        <v>224.57932443308738</v>
      </c>
      <c r="J58" s="232">
        <f t="shared" si="30"/>
        <v>0</v>
      </c>
      <c r="K58" s="232">
        <f t="shared" si="30"/>
        <v>0</v>
      </c>
      <c r="L58" s="232">
        <f t="shared" si="30"/>
        <v>0</v>
      </c>
      <c r="M58" s="232">
        <f t="shared" si="30"/>
        <v>0</v>
      </c>
      <c r="N58" s="232">
        <f t="shared" si="30"/>
        <v>0</v>
      </c>
      <c r="O58" s="232">
        <f t="shared" si="30"/>
        <v>0</v>
      </c>
      <c r="P58" s="4">
        <f t="shared" si="28"/>
        <v>3593.2691909293981</v>
      </c>
      <c r="Q58" s="4">
        <f t="shared" si="21"/>
        <v>0</v>
      </c>
      <c r="R58" t="b">
        <f>D58=KMS_Det!P100</f>
        <v>1</v>
      </c>
    </row>
    <row r="59" spans="2:18" x14ac:dyDescent="0.25">
      <c r="B59" s="285" t="str">
        <f>STN_7</f>
        <v>WGI</v>
      </c>
      <c r="C59" s="285"/>
      <c r="D59" s="389">
        <f t="shared" ref="D59" si="31">D11+D23+D35+D47</f>
        <v>9409.1301841205659</v>
      </c>
      <c r="E59" s="232">
        <f t="shared" ref="E59:O59" si="32">E11+E23+E35+E47</f>
        <v>0</v>
      </c>
      <c r="F59" s="232">
        <f t="shared" si="32"/>
        <v>940.91301841205632</v>
      </c>
      <c r="G59" s="232">
        <f t="shared" si="32"/>
        <v>2352.282546030141</v>
      </c>
      <c r="H59" s="232">
        <f t="shared" si="32"/>
        <v>3763.6520736482262</v>
      </c>
      <c r="I59" s="232">
        <f t="shared" si="32"/>
        <v>1999.4401641256202</v>
      </c>
      <c r="J59" s="232">
        <f t="shared" si="32"/>
        <v>235.22825460301414</v>
      </c>
      <c r="K59" s="232">
        <f t="shared" si="32"/>
        <v>117.61412730150707</v>
      </c>
      <c r="L59" s="232">
        <f t="shared" si="32"/>
        <v>0</v>
      </c>
      <c r="M59" s="232">
        <f t="shared" si="32"/>
        <v>0</v>
      </c>
      <c r="N59" s="232">
        <f t="shared" si="32"/>
        <v>0</v>
      </c>
      <c r="O59" s="232">
        <f t="shared" si="32"/>
        <v>0</v>
      </c>
      <c r="P59" s="4">
        <f t="shared" si="28"/>
        <v>9409.1301841205659</v>
      </c>
      <c r="Q59" s="4">
        <f t="shared" si="21"/>
        <v>0</v>
      </c>
      <c r="R59" t="b">
        <f>D59=WGI_Det!P81</f>
        <v>1</v>
      </c>
    </row>
    <row r="60" spans="2:18" x14ac:dyDescent="0.25">
      <c r="B60" s="285" t="str">
        <f>STN_8</f>
        <v>BGE</v>
      </c>
      <c r="C60" s="285"/>
      <c r="D60" s="389">
        <f t="shared" ref="D60" si="33">D12+D24+D36+D48</f>
        <v>9762.2945941654525</v>
      </c>
      <c r="E60" s="232">
        <f t="shared" ref="E60:O60" si="34">E12+E24+E36+E48</f>
        <v>0</v>
      </c>
      <c r="F60" s="232">
        <f t="shared" si="34"/>
        <v>1165.9704725168242</v>
      </c>
      <c r="G60" s="232">
        <f t="shared" si="34"/>
        <v>2387.8678115690636</v>
      </c>
      <c r="H60" s="232">
        <f t="shared" si="34"/>
        <v>3820.5884985105017</v>
      </c>
      <c r="I60" s="232">
        <f t="shared" si="34"/>
        <v>2029.687639833704</v>
      </c>
      <c r="J60" s="232">
        <f t="shared" si="34"/>
        <v>238.78678115690636</v>
      </c>
      <c r="K60" s="232">
        <f t="shared" si="34"/>
        <v>119.39339057845318</v>
      </c>
      <c r="L60" s="232">
        <f t="shared" si="34"/>
        <v>0</v>
      </c>
      <c r="M60" s="232">
        <f t="shared" si="34"/>
        <v>0</v>
      </c>
      <c r="N60" s="232">
        <f t="shared" si="34"/>
        <v>0</v>
      </c>
      <c r="O60" s="232">
        <f t="shared" si="34"/>
        <v>0</v>
      </c>
      <c r="P60" s="4">
        <f t="shared" si="28"/>
        <v>9762.2945941654525</v>
      </c>
      <c r="Q60" s="4">
        <f t="shared" si="21"/>
        <v>0</v>
      </c>
      <c r="R60" t="b">
        <f>D60=BGE_Det!P96</f>
        <v>1</v>
      </c>
    </row>
    <row r="61" spans="2:18" x14ac:dyDescent="0.25">
      <c r="B61" s="285" t="str">
        <f>STN_9</f>
        <v>LDL</v>
      </c>
      <c r="C61" s="285"/>
      <c r="D61" s="389">
        <f t="shared" ref="D61" si="35">D13+D25+D37+D49</f>
        <v>4214.0942933809056</v>
      </c>
      <c r="E61" s="337">
        <f t="shared" ref="E61:O61" si="36">E13+E25+E37+E49</f>
        <v>0</v>
      </c>
      <c r="F61" s="337">
        <f t="shared" si="36"/>
        <v>0</v>
      </c>
      <c r="G61" s="337">
        <f t="shared" si="36"/>
        <v>1401.9599122763748</v>
      </c>
      <c r="H61" s="337">
        <f t="shared" si="36"/>
        <v>1874.7562540696872</v>
      </c>
      <c r="I61" s="337">
        <f t="shared" si="36"/>
        <v>937.3781270348436</v>
      </c>
      <c r="J61" s="337">
        <f t="shared" si="36"/>
        <v>0</v>
      </c>
      <c r="K61" s="337">
        <f t="shared" si="36"/>
        <v>0</v>
      </c>
      <c r="L61" s="337">
        <f t="shared" si="36"/>
        <v>0</v>
      </c>
      <c r="M61" s="337">
        <f t="shared" si="36"/>
        <v>0</v>
      </c>
      <c r="N61" s="337">
        <f t="shared" si="36"/>
        <v>0</v>
      </c>
      <c r="O61" s="337">
        <f t="shared" si="36"/>
        <v>0</v>
      </c>
      <c r="P61" s="230">
        <f t="shared" si="28"/>
        <v>4214.0942933809056</v>
      </c>
      <c r="Q61" s="4">
        <f t="shared" si="21"/>
        <v>0</v>
      </c>
      <c r="R61" t="b">
        <f>D61=LDL_Det!P78</f>
        <v>1</v>
      </c>
    </row>
    <row r="62" spans="2:18" x14ac:dyDescent="0.25">
      <c r="B62" s="3" t="s">
        <v>410</v>
      </c>
      <c r="C62" s="3"/>
      <c r="D62" s="291"/>
      <c r="E62" s="291">
        <f t="shared" ref="E62:O62" si="37">SUM(E53:E61)</f>
        <v>0</v>
      </c>
      <c r="F62" s="291">
        <f t="shared" si="37"/>
        <v>11052.960196415352</v>
      </c>
      <c r="G62" s="291">
        <f t="shared" si="37"/>
        <v>15410.861574278752</v>
      </c>
      <c r="H62" s="291">
        <f t="shared" si="37"/>
        <v>19320.494461722556</v>
      </c>
      <c r="I62" s="291">
        <f t="shared" si="37"/>
        <v>11576.28447462925</v>
      </c>
      <c r="J62" s="291">
        <f t="shared" si="37"/>
        <v>3832.0744875359369</v>
      </c>
      <c r="K62" s="291">
        <f t="shared" si="37"/>
        <v>2606.2969175697531</v>
      </c>
      <c r="L62" s="291">
        <f t="shared" si="37"/>
        <v>1380.5193476035688</v>
      </c>
      <c r="M62" s="291">
        <f t="shared" si="37"/>
        <v>1380.5193476035688</v>
      </c>
      <c r="N62" s="291">
        <f t="shared" si="37"/>
        <v>1380.5193476035688</v>
      </c>
      <c r="O62" s="291">
        <f t="shared" si="37"/>
        <v>690.2596738017844</v>
      </c>
      <c r="P62" s="291">
        <f>SUM(P53:P61)</f>
        <v>68630.7898287641</v>
      </c>
      <c r="Q62" s="385">
        <f>SUM(Q53:Q61)</f>
        <v>0</v>
      </c>
    </row>
    <row r="63" spans="2:18" x14ac:dyDescent="0.25">
      <c r="B63" t="s">
        <v>307</v>
      </c>
      <c r="E63" s="398">
        <f>E62-SUM(E14,E26,E38,E50)</f>
        <v>0</v>
      </c>
      <c r="F63" s="398">
        <f t="shared" ref="F63:P63" si="38">F62-SUM(F14,F26,F38,F50)</f>
        <v>0</v>
      </c>
      <c r="G63" s="398">
        <f t="shared" si="38"/>
        <v>0</v>
      </c>
      <c r="H63" s="398">
        <f t="shared" si="38"/>
        <v>0</v>
      </c>
      <c r="I63" s="398">
        <f t="shared" si="38"/>
        <v>0</v>
      </c>
      <c r="J63" s="398">
        <f t="shared" si="38"/>
        <v>0</v>
      </c>
      <c r="K63" s="398">
        <f t="shared" si="38"/>
        <v>0</v>
      </c>
      <c r="L63" s="398">
        <f t="shared" si="38"/>
        <v>0</v>
      </c>
      <c r="M63" s="398">
        <f t="shared" si="38"/>
        <v>0</v>
      </c>
      <c r="N63" s="398">
        <f t="shared" si="38"/>
        <v>0</v>
      </c>
      <c r="O63" s="398">
        <f t="shared" si="38"/>
        <v>0</v>
      </c>
      <c r="P63" s="398">
        <f t="shared" si="38"/>
        <v>0</v>
      </c>
    </row>
    <row r="65" spans="2:11" ht="30" x14ac:dyDescent="0.25">
      <c r="B65" s="3" t="s">
        <v>488</v>
      </c>
      <c r="E65" s="9" t="s">
        <v>21</v>
      </c>
      <c r="F65" s="9" t="s">
        <v>22</v>
      </c>
      <c r="G65" s="9" t="s">
        <v>23</v>
      </c>
      <c r="H65" s="9" t="s">
        <v>24</v>
      </c>
      <c r="I65" s="9" t="s">
        <v>25</v>
      </c>
      <c r="J65" s="426" t="s">
        <v>486</v>
      </c>
      <c r="K65" s="427" t="s">
        <v>487</v>
      </c>
    </row>
    <row r="66" spans="2:11" x14ac:dyDescent="0.25">
      <c r="B66" s="285" t="str">
        <f>STN_1</f>
        <v>&lt;Spare&gt;</v>
      </c>
      <c r="E66" s="4">
        <f>Spare_Det!K106</f>
        <v>0</v>
      </c>
      <c r="F66" s="4">
        <f>Spare_Det!L106</f>
        <v>0</v>
      </c>
      <c r="G66" s="4">
        <f>Spare_Det!M106</f>
        <v>0</v>
      </c>
      <c r="H66" s="4">
        <f>Spare_Det!N106</f>
        <v>0</v>
      </c>
      <c r="I66" s="4">
        <f>Spare_Det!O106</f>
        <v>0</v>
      </c>
      <c r="J66" s="4">
        <f>SUM(E66:I66)</f>
        <v>0</v>
      </c>
      <c r="K66" s="84"/>
    </row>
    <row r="67" spans="2:11" x14ac:dyDescent="0.25">
      <c r="B67" s="285" t="str">
        <f>STN_2</f>
        <v>WOTS</v>
      </c>
      <c r="E67" s="4">
        <f>WOTS_Det!K99</f>
        <v>5917.9925108070056</v>
      </c>
      <c r="F67" s="4">
        <f>WOTS_Det!L99</f>
        <v>1041.9639012149059</v>
      </c>
      <c r="G67" s="4">
        <f>WOTS_Det!M99</f>
        <v>1273.9290023181936</v>
      </c>
      <c r="H67" s="4">
        <f>WOTS_Det!N99</f>
        <v>4818.5016419430995</v>
      </c>
      <c r="I67" s="4">
        <f>WOTS_Det!O99</f>
        <v>235.13138849947097</v>
      </c>
      <c r="J67" s="4">
        <f>SUM(E67:I67)</f>
        <v>13287.518444782674</v>
      </c>
      <c r="K67" s="416">
        <f t="shared" ref="K67:K74" si="39">SUMPRODUCT(E67:I67,E$85:I$85)</f>
        <v>13512.232684423938</v>
      </c>
    </row>
    <row r="68" spans="2:11" x14ac:dyDescent="0.25">
      <c r="B68" s="285" t="str">
        <f>STN_3</f>
        <v>BDL</v>
      </c>
      <c r="E68" s="4">
        <f>BDL_Det!K112</f>
        <v>6415.1894396014732</v>
      </c>
      <c r="F68" s="4">
        <f>BDL_Det!L112</f>
        <v>695.59936051625402</v>
      </c>
      <c r="G68" s="4">
        <f>BDL_Det!M112</f>
        <v>900</v>
      </c>
      <c r="H68" s="4">
        <f>BDL_Det!N112</f>
        <v>5771.9784649304966</v>
      </c>
      <c r="I68" s="4">
        <f>BDL_Det!O112</f>
        <v>118.56633470328464</v>
      </c>
      <c r="J68" s="4">
        <f t="shared" ref="J68:J74" si="40">SUM(E68:I68)</f>
        <v>13901.333599751508</v>
      </c>
      <c r="K68" s="416">
        <f t="shared" si="39"/>
        <v>14131.485861806632</v>
      </c>
    </row>
    <row r="69" spans="2:11" x14ac:dyDescent="0.25">
      <c r="B69" s="285" t="str">
        <f>STN_4</f>
        <v>ELM</v>
      </c>
      <c r="E69" s="4">
        <f>ELM_Det!K106</f>
        <v>3837.7455404014722</v>
      </c>
      <c r="F69" s="4">
        <f>ELM_Det!L106</f>
        <v>653.95127669566045</v>
      </c>
      <c r="G69" s="4">
        <f>ELM_Det!M106</f>
        <v>800</v>
      </c>
      <c r="H69" s="4">
        <f>ELM_Det!N106</f>
        <v>3574.7334047304976</v>
      </c>
      <c r="I69" s="4">
        <f>ELM_Det!O106</f>
        <v>74.641909391683441</v>
      </c>
      <c r="J69" s="4">
        <f t="shared" si="40"/>
        <v>8941.0721312193127</v>
      </c>
      <c r="K69" s="416">
        <f t="shared" si="39"/>
        <v>9091.6895743629102</v>
      </c>
    </row>
    <row r="70" spans="2:11" x14ac:dyDescent="0.25">
      <c r="B70" s="285" t="str">
        <f>STN_5</f>
        <v>RWN</v>
      </c>
      <c r="E70" s="4">
        <f>RWN_Det!K103</f>
        <v>2349.8370197158297</v>
      </c>
      <c r="F70" s="4">
        <f>RWN_Det!L103</f>
        <v>556.73738824693078</v>
      </c>
      <c r="G70" s="4">
        <f>RWN_Det!M103</f>
        <v>550</v>
      </c>
      <c r="H70" s="4">
        <f>RWN_Det!N103</f>
        <v>2000.0104991114135</v>
      </c>
      <c r="I70" s="4">
        <f>RWN_Det!O103</f>
        <v>65.492483340100534</v>
      </c>
      <c r="J70" s="4">
        <f t="shared" si="40"/>
        <v>5522.0773904142734</v>
      </c>
      <c r="K70" s="416">
        <f t="shared" si="39"/>
        <v>5617.0149880639156</v>
      </c>
    </row>
    <row r="71" spans="2:11" x14ac:dyDescent="0.25">
      <c r="B71" s="285" t="str">
        <f>STN_6</f>
        <v>KMS</v>
      </c>
      <c r="E71" s="4">
        <f>KMS_Det!K100</f>
        <v>1456.193914634146</v>
      </c>
      <c r="F71" s="4">
        <f>KMS_Det!L100</f>
        <v>283.38549231058158</v>
      </c>
      <c r="G71" s="4">
        <f>KMS_Det!M100</f>
        <v>300</v>
      </c>
      <c r="H71" s="4">
        <f>KMS_Det!N100</f>
        <v>1511.96760046446</v>
      </c>
      <c r="I71" s="4">
        <f>KMS_Det!O100</f>
        <v>41.722183520209896</v>
      </c>
      <c r="J71" s="4">
        <f t="shared" si="40"/>
        <v>3593.2691909293976</v>
      </c>
      <c r="K71" s="416">
        <f t="shared" si="39"/>
        <v>3654.0576136382306</v>
      </c>
    </row>
    <row r="72" spans="2:11" x14ac:dyDescent="0.25">
      <c r="B72" s="285" t="str">
        <f>STN_7</f>
        <v>WGI</v>
      </c>
      <c r="E72" s="4">
        <f>WGI_Det!K81</f>
        <v>3485.2725448306464</v>
      </c>
      <c r="F72" s="4">
        <f>WGI_Det!L81</f>
        <v>1027.9258458573074</v>
      </c>
      <c r="G72" s="4">
        <f>WGI_Det!M81</f>
        <v>1023.9290023181936</v>
      </c>
      <c r="H72" s="4">
        <f>WGI_Det!N81</f>
        <v>3696.5583235016538</v>
      </c>
      <c r="I72" s="4">
        <f>WGI_Det!O81</f>
        <v>175.44446761276583</v>
      </c>
      <c r="J72" s="4">
        <f t="shared" si="40"/>
        <v>9409.1301841205677</v>
      </c>
      <c r="K72" s="416">
        <f t="shared" si="39"/>
        <v>9571.8889064636132</v>
      </c>
    </row>
    <row r="73" spans="2:11" x14ac:dyDescent="0.25">
      <c r="B73" s="285" t="str">
        <f>STN_8</f>
        <v>BGE</v>
      </c>
      <c r="E73" s="4">
        <f>BGE_Det!K96</f>
        <v>3440.8794912290127</v>
      </c>
      <c r="F73" s="4">
        <f>BGE_Det!L96</f>
        <v>786.7357633148589</v>
      </c>
      <c r="G73" s="4">
        <f>BGE_Det!M96</f>
        <v>823.92900231819362</v>
      </c>
      <c r="H73" s="4">
        <f>BGE_Det!N96</f>
        <v>4573.2380318526766</v>
      </c>
      <c r="I73" s="4">
        <f>BGE_Det!O96</f>
        <v>137.51230545071056</v>
      </c>
      <c r="J73" s="4">
        <f t="shared" si="40"/>
        <v>9762.2945941654525</v>
      </c>
      <c r="K73" s="416">
        <f t="shared" si="39"/>
        <v>9927.6570996425235</v>
      </c>
    </row>
    <row r="74" spans="2:11" x14ac:dyDescent="0.25">
      <c r="B74" s="285" t="str">
        <f>STN_9</f>
        <v>LDL</v>
      </c>
      <c r="E74" s="230">
        <f>LDL_Det!K78</f>
        <v>1101.4714700679881</v>
      </c>
      <c r="F74" s="230">
        <f>LDL_Det!L78</f>
        <v>414.50450975869444</v>
      </c>
      <c r="G74" s="230">
        <f>LDL_Det!M78</f>
        <v>469.17160092727744</v>
      </c>
      <c r="H74" s="230">
        <f>LDL_Det!N78</f>
        <v>2100.8974741836446</v>
      </c>
      <c r="I74" s="230">
        <f>LDL_Det!O78</f>
        <v>128.0492384433006</v>
      </c>
      <c r="J74" s="230">
        <f t="shared" si="40"/>
        <v>4214.0942933809056</v>
      </c>
      <c r="K74" s="417">
        <f t="shared" si="39"/>
        <v>4286.4147415947018</v>
      </c>
    </row>
    <row r="75" spans="2:11" x14ac:dyDescent="0.25">
      <c r="B75" s="3" t="s">
        <v>8</v>
      </c>
      <c r="E75" s="415">
        <f>SUM(E66:E74)</f>
        <v>28004.581931287576</v>
      </c>
      <c r="F75" s="415">
        <f t="shared" ref="F75:K75" si="41">SUM(F66:F74)</f>
        <v>5460.8035379151925</v>
      </c>
      <c r="G75" s="415">
        <f t="shared" si="41"/>
        <v>6140.9586078818593</v>
      </c>
      <c r="H75" s="415">
        <f t="shared" si="41"/>
        <v>28047.885440717939</v>
      </c>
      <c r="I75" s="415">
        <f t="shared" si="41"/>
        <v>976.5603109615264</v>
      </c>
      <c r="J75" s="415">
        <f t="shared" si="41"/>
        <v>68630.789828764086</v>
      </c>
      <c r="K75" s="418">
        <f t="shared" si="41"/>
        <v>69792.441469996455</v>
      </c>
    </row>
    <row r="76" spans="2:11" x14ac:dyDescent="0.25">
      <c r="J76" s="235">
        <f>J75-P62</f>
        <v>0</v>
      </c>
      <c r="K76" s="421">
        <f>K75-J83</f>
        <v>0</v>
      </c>
    </row>
    <row r="77" spans="2:11" x14ac:dyDescent="0.25">
      <c r="K77" s="422"/>
    </row>
    <row r="78" spans="2:11" x14ac:dyDescent="0.25">
      <c r="E78" s="420" t="s">
        <v>491</v>
      </c>
      <c r="F78" s="420" t="s">
        <v>492</v>
      </c>
      <c r="G78" s="420" t="s">
        <v>493</v>
      </c>
    </row>
    <row r="79" spans="2:11" x14ac:dyDescent="0.25">
      <c r="B79" t="s">
        <v>495</v>
      </c>
      <c r="E79" s="26">
        <f>Escalators!F5</f>
        <v>1.9337016574585641E-2</v>
      </c>
      <c r="F79" s="26">
        <f>Escalators!G5</f>
        <v>2.0776874435411097E-2</v>
      </c>
      <c r="G79" s="432">
        <f>[1]Escalators!$O$12</f>
        <v>1.5929203539823078E-2</v>
      </c>
    </row>
    <row r="80" spans="2:11" x14ac:dyDescent="0.25">
      <c r="B80" t="s">
        <v>494</v>
      </c>
      <c r="E80" s="26"/>
      <c r="F80" s="432">
        <f>[1]Escalators!N$26</f>
        <v>1.4906833450926693E-2</v>
      </c>
      <c r="G80" s="432">
        <f>[1]Escalators!O$26</f>
        <v>8.9480509403160879E-3</v>
      </c>
    </row>
    <row r="81" spans="2:11" x14ac:dyDescent="0.25">
      <c r="E81" s="28"/>
      <c r="F81" s="28"/>
      <c r="G81" s="28"/>
      <c r="H81" s="28"/>
      <c r="I81" s="28"/>
    </row>
    <row r="82" spans="2:11" ht="30" x14ac:dyDescent="0.25">
      <c r="E82" s="423" t="s">
        <v>21</v>
      </c>
      <c r="F82" s="423" t="s">
        <v>22</v>
      </c>
      <c r="G82" s="423" t="s">
        <v>23</v>
      </c>
      <c r="H82" s="423" t="s">
        <v>24</v>
      </c>
      <c r="I82" s="423" t="s">
        <v>25</v>
      </c>
      <c r="J82" s="426" t="s">
        <v>487</v>
      </c>
    </row>
    <row r="83" spans="2:11" x14ac:dyDescent="0.25">
      <c r="B83" s="3" t="s">
        <v>496</v>
      </c>
      <c r="E83" s="4">
        <f>E75*E85</f>
        <v>28450.672616918706</v>
      </c>
      <c r="F83" s="4">
        <f>F75*F85</f>
        <v>5616.2076099127999</v>
      </c>
      <c r="G83" s="4">
        <f>G75*G85</f>
        <v>6238.779187476438</v>
      </c>
      <c r="H83" s="4">
        <f>H75*H85</f>
        <v>28494.665916764774</v>
      </c>
      <c r="I83" s="4">
        <f>I75*I85</f>
        <v>992.11613892374544</v>
      </c>
      <c r="J83" s="291">
        <f>SUM(E83:I83)</f>
        <v>69792.441469996455</v>
      </c>
      <c r="K83" s="4" t="b">
        <f>J83=K75</f>
        <v>1</v>
      </c>
    </row>
    <row r="85" spans="2:11" x14ac:dyDescent="0.25">
      <c r="B85" t="s">
        <v>490</v>
      </c>
      <c r="E85" s="28">
        <f>(1+$G79)</f>
        <v>1.0159292035398231</v>
      </c>
      <c r="F85" s="419">
        <f>(1+$E79)*(1+G80)</f>
        <v>1.0284580961242449</v>
      </c>
      <c r="G85" s="28">
        <f>(1+$G79)</f>
        <v>1.0159292035398231</v>
      </c>
      <c r="H85" s="28">
        <f>(1+$G79)</f>
        <v>1.0159292035398231</v>
      </c>
      <c r="I85" s="28">
        <f>(1+$G79)</f>
        <v>1.0159292035398231</v>
      </c>
      <c r="J85" s="328"/>
      <c r="K85" s="328"/>
    </row>
    <row r="86" spans="2:11" x14ac:dyDescent="0.25">
      <c r="B86" s="328"/>
      <c r="C86" s="328"/>
      <c r="D86" s="328"/>
      <c r="E86" s="328"/>
      <c r="F86" s="328"/>
      <c r="G86" s="328"/>
      <c r="H86" s="328"/>
      <c r="I86" s="328"/>
      <c r="J86" s="328"/>
      <c r="K86" s="328"/>
    </row>
    <row r="87" spans="2:11" x14ac:dyDescent="0.25">
      <c r="B87" s="328"/>
      <c r="C87" s="328"/>
      <c r="D87" s="328"/>
      <c r="E87" s="70"/>
      <c r="F87" s="70"/>
      <c r="G87" s="70"/>
      <c r="H87" s="70"/>
      <c r="I87" s="70"/>
      <c r="J87" s="424"/>
      <c r="K87" s="425"/>
    </row>
  </sheetData>
  <phoneticPr fontId="36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B2:AD26"/>
  <sheetViews>
    <sheetView zoomScale="85" zoomScaleNormal="85" workbookViewId="0">
      <selection activeCell="D7" sqref="D7"/>
    </sheetView>
  </sheetViews>
  <sheetFormatPr defaultRowHeight="15" x14ac:dyDescent="0.25"/>
  <cols>
    <col min="1" max="1" width="3.7109375" customWidth="1"/>
    <col min="18" max="26" width="11.7109375" customWidth="1"/>
    <col min="28" max="28" width="12" customWidth="1"/>
    <col min="29" max="29" width="11.7109375" customWidth="1"/>
    <col min="30" max="30" width="9.7109375" bestFit="1" customWidth="1"/>
  </cols>
  <sheetData>
    <row r="2" spans="2:30" x14ac:dyDescent="0.25">
      <c r="B2" s="23" t="s">
        <v>415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2:30" x14ac:dyDescent="0.25"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</row>
    <row r="4" spans="2:30" ht="30" x14ac:dyDescent="0.25">
      <c r="B4" s="23"/>
      <c r="C4" s="280" t="s">
        <v>17</v>
      </c>
      <c r="D4" s="280" t="s">
        <v>18</v>
      </c>
      <c r="E4" s="280" t="s">
        <v>19</v>
      </c>
      <c r="F4" s="280" t="s">
        <v>9</v>
      </c>
      <c r="G4" s="280" t="s">
        <v>10</v>
      </c>
      <c r="H4" s="280" t="s">
        <v>11</v>
      </c>
      <c r="I4" s="280" t="s">
        <v>12</v>
      </c>
      <c r="J4" s="280" t="s">
        <v>13</v>
      </c>
      <c r="K4" s="280" t="s">
        <v>14</v>
      </c>
      <c r="L4" s="280" t="s">
        <v>15</v>
      </c>
      <c r="M4" s="280" t="s">
        <v>16</v>
      </c>
      <c r="N4" s="280" t="s">
        <v>0</v>
      </c>
      <c r="R4" s="388"/>
      <c r="S4" s="388"/>
      <c r="T4" s="388"/>
      <c r="U4" s="388"/>
      <c r="V4" s="388"/>
      <c r="W4" s="388"/>
      <c r="X4" s="388"/>
      <c r="Y4" s="388"/>
      <c r="Z4" s="388"/>
    </row>
    <row r="5" spans="2:30" x14ac:dyDescent="0.25">
      <c r="B5" s="23" t="s">
        <v>478</v>
      </c>
      <c r="C5" s="23"/>
      <c r="D5" s="23"/>
      <c r="E5" s="23"/>
      <c r="F5" s="287"/>
      <c r="G5" s="287"/>
      <c r="H5" s="287"/>
      <c r="I5" s="287"/>
      <c r="J5" s="287"/>
      <c r="K5" s="287"/>
      <c r="L5" s="287"/>
      <c r="M5" s="287"/>
      <c r="N5" s="281"/>
    </row>
    <row r="6" spans="2:30" x14ac:dyDescent="0.25">
      <c r="B6" s="285" t="str">
        <f>STN_1</f>
        <v>&lt;Spare&gt;</v>
      </c>
      <c r="C6" s="396"/>
      <c r="D6" s="396"/>
      <c r="E6" s="396"/>
      <c r="F6" s="395"/>
      <c r="G6" s="395"/>
      <c r="H6" s="395"/>
      <c r="I6" s="395"/>
      <c r="J6" s="395"/>
      <c r="K6" s="395"/>
      <c r="L6" s="395"/>
      <c r="M6" s="395"/>
      <c r="N6" s="281">
        <f t="shared" ref="N6:N7" si="0">SUM(C6:M6)</f>
        <v>0</v>
      </c>
      <c r="R6" s="1"/>
      <c r="S6" s="1"/>
      <c r="T6" s="1"/>
      <c r="U6" s="1"/>
      <c r="V6" s="1"/>
      <c r="W6" s="1"/>
      <c r="X6" s="1"/>
      <c r="Y6" s="1"/>
      <c r="Z6" s="1"/>
      <c r="AB6" s="410"/>
      <c r="AC6" s="410"/>
      <c r="AD6" s="410"/>
    </row>
    <row r="7" spans="2:30" x14ac:dyDescent="0.25">
      <c r="B7" s="285" t="str">
        <f>STN_2</f>
        <v>WOTS</v>
      </c>
      <c r="C7" s="396"/>
      <c r="D7" s="396">
        <v>0.20083173713764263</v>
      </c>
      <c r="E7" s="396">
        <v>0.25</v>
      </c>
      <c r="F7" s="395">
        <v>0.29916826286235737</v>
      </c>
      <c r="G7" s="395">
        <v>0.17468809857338402</v>
      </c>
      <c r="H7" s="395">
        <v>5.0207934284410657E-2</v>
      </c>
      <c r="I7" s="395">
        <v>2.5103967142205329E-2</v>
      </c>
      <c r="J7" s="395"/>
      <c r="K7" s="395"/>
      <c r="L7" s="395"/>
      <c r="M7" s="395"/>
      <c r="N7" s="281">
        <f t="shared" si="0"/>
        <v>1</v>
      </c>
      <c r="R7" s="1"/>
      <c r="S7" s="1"/>
      <c r="T7" s="1"/>
      <c r="U7" s="1"/>
      <c r="V7" s="1"/>
      <c r="W7" s="1"/>
      <c r="X7" s="1"/>
      <c r="Y7" s="1"/>
      <c r="Z7" s="1"/>
      <c r="AA7" s="23"/>
      <c r="AB7" s="410"/>
      <c r="AC7" s="410"/>
      <c r="AD7" s="410"/>
    </row>
    <row r="8" spans="2:30" x14ac:dyDescent="0.25">
      <c r="B8" s="285" t="str">
        <f>STN_3</f>
        <v>BDL</v>
      </c>
      <c r="C8" s="396"/>
      <c r="D8" s="396">
        <v>0.18341802743958122</v>
      </c>
      <c r="E8" s="396">
        <v>0.21397505624713478</v>
      </c>
      <c r="F8" s="395">
        <v>0.24453208505468832</v>
      </c>
      <c r="G8" s="395">
        <v>0.18121823971015705</v>
      </c>
      <c r="H8" s="395">
        <v>0.11790439436562576</v>
      </c>
      <c r="I8" s="395">
        <v>5.8952197182812881E-2</v>
      </c>
      <c r="J8" s="395"/>
      <c r="K8" s="395"/>
      <c r="L8" s="395"/>
      <c r="M8" s="395"/>
      <c r="N8" s="281">
        <f>SUM(C8:M8)</f>
        <v>0.99999999999999989</v>
      </c>
      <c r="R8" s="1"/>
      <c r="S8" s="1"/>
      <c r="T8" s="1"/>
      <c r="U8" s="1"/>
      <c r="V8" s="1"/>
      <c r="W8" s="1"/>
      <c r="X8" s="1"/>
      <c r="Y8" s="1"/>
      <c r="Z8" s="1"/>
    </row>
    <row r="9" spans="2:30" x14ac:dyDescent="0.25">
      <c r="B9" s="285" t="str">
        <f>STN_4</f>
        <v>ELM</v>
      </c>
      <c r="C9" s="396"/>
      <c r="D9" s="396">
        <v>0.1918448625218446</v>
      </c>
      <c r="E9" s="396">
        <v>0.21439871382708578</v>
      </c>
      <c r="F9" s="395">
        <v>0.23695256513232693</v>
      </c>
      <c r="G9" s="395">
        <v>0.17805817655430828</v>
      </c>
      <c r="H9" s="395">
        <v>0.11916378797628961</v>
      </c>
      <c r="I9" s="395">
        <v>5.9581893988144806E-2</v>
      </c>
      <c r="J9" s="395"/>
      <c r="K9" s="395"/>
      <c r="L9" s="395"/>
      <c r="M9" s="395"/>
      <c r="N9" s="281">
        <f t="shared" ref="N9:N14" si="1">SUM(C9:M9)</f>
        <v>1</v>
      </c>
      <c r="R9" s="1"/>
      <c r="S9" s="1"/>
      <c r="T9" s="1"/>
      <c r="U9" s="1"/>
      <c r="V9" s="1"/>
      <c r="W9" s="1"/>
      <c r="X9" s="1"/>
      <c r="Y9" s="1"/>
      <c r="Z9" s="1"/>
    </row>
    <row r="10" spans="2:30" x14ac:dyDescent="0.25">
      <c r="B10" s="285" t="str">
        <f>STN_5</f>
        <v>RWN</v>
      </c>
      <c r="C10" s="396"/>
      <c r="D10" s="396"/>
      <c r="E10" s="396"/>
      <c r="F10" s="395"/>
      <c r="G10" s="395"/>
      <c r="H10" s="395"/>
      <c r="I10" s="395">
        <v>0.125</v>
      </c>
      <c r="J10" s="395">
        <v>0.25</v>
      </c>
      <c r="K10" s="395">
        <v>0.25</v>
      </c>
      <c r="L10" s="395">
        <v>0.25</v>
      </c>
      <c r="M10" s="395">
        <v>0.125</v>
      </c>
      <c r="N10" s="281">
        <f t="shared" si="1"/>
        <v>1</v>
      </c>
      <c r="R10" s="1"/>
      <c r="S10" s="1"/>
      <c r="T10" s="1"/>
      <c r="U10" s="1"/>
      <c r="V10" s="1"/>
      <c r="W10" s="1"/>
      <c r="X10" s="1"/>
      <c r="Y10" s="1"/>
      <c r="Z10" s="1"/>
    </row>
    <row r="11" spans="2:30" x14ac:dyDescent="0.25">
      <c r="B11" s="285" t="str">
        <f>STN_6</f>
        <v>KMS</v>
      </c>
      <c r="C11" s="396"/>
      <c r="D11" s="396">
        <v>0.5</v>
      </c>
      <c r="E11" s="396">
        <v>0.3125</v>
      </c>
      <c r="F11" s="395">
        <v>0.125</v>
      </c>
      <c r="G11" s="395">
        <v>6.25E-2</v>
      </c>
      <c r="H11" s="395"/>
      <c r="I11" s="395"/>
      <c r="J11" s="395"/>
      <c r="K11" s="395"/>
      <c r="L11" s="395"/>
      <c r="M11" s="395"/>
      <c r="N11" s="281">
        <f t="shared" si="1"/>
        <v>1</v>
      </c>
      <c r="R11" s="1"/>
      <c r="S11" s="1"/>
      <c r="T11" s="1"/>
      <c r="U11" s="1"/>
      <c r="V11" s="1"/>
      <c r="W11" s="1"/>
      <c r="X11" s="1"/>
      <c r="Y11" s="1"/>
      <c r="Z11" s="1"/>
    </row>
    <row r="12" spans="2:30" x14ac:dyDescent="0.25">
      <c r="B12" s="285" t="str">
        <f>STN_7</f>
        <v>WGI</v>
      </c>
      <c r="C12" s="396"/>
      <c r="D12" s="396">
        <v>9.9999999999999964E-2</v>
      </c>
      <c r="E12" s="396">
        <v>0.24999999999999994</v>
      </c>
      <c r="F12" s="395">
        <v>0.39999999999999997</v>
      </c>
      <c r="G12" s="395">
        <v>0.21249999999999999</v>
      </c>
      <c r="H12" s="395">
        <v>2.4999999999999998E-2</v>
      </c>
      <c r="I12" s="395">
        <v>1.2499999999999999E-2</v>
      </c>
      <c r="J12" s="395"/>
      <c r="K12" s="395"/>
      <c r="L12" s="395"/>
      <c r="M12" s="395"/>
      <c r="N12" s="281">
        <f t="shared" si="1"/>
        <v>0.99999999999999989</v>
      </c>
      <c r="R12" s="1"/>
      <c r="S12" s="1"/>
      <c r="T12" s="1"/>
      <c r="U12" s="1"/>
      <c r="V12" s="1"/>
      <c r="W12" s="1"/>
      <c r="X12" s="1"/>
      <c r="Y12" s="1"/>
      <c r="Z12" s="1"/>
    </row>
    <row r="13" spans="2:30" x14ac:dyDescent="0.25">
      <c r="B13" s="285" t="str">
        <f>STN_8</f>
        <v>BGE</v>
      </c>
      <c r="C13" s="396"/>
      <c r="D13" s="396">
        <v>9.9999999999999992E-2</v>
      </c>
      <c r="E13" s="396">
        <v>0.25000000000000006</v>
      </c>
      <c r="F13" s="395">
        <v>0.40000000000000008</v>
      </c>
      <c r="G13" s="395">
        <v>0.21250000000000005</v>
      </c>
      <c r="H13" s="395">
        <v>2.5000000000000005E-2</v>
      </c>
      <c r="I13" s="395">
        <v>1.2500000000000002E-2</v>
      </c>
      <c r="J13" s="395"/>
      <c r="K13" s="395"/>
      <c r="L13" s="395"/>
      <c r="M13" s="395"/>
      <c r="N13" s="281">
        <f t="shared" si="1"/>
        <v>1.0000000000000002</v>
      </c>
      <c r="R13" s="1"/>
      <c r="S13" s="1"/>
      <c r="T13" s="1"/>
      <c r="U13" s="1"/>
      <c r="V13" s="1"/>
      <c r="W13" s="1"/>
      <c r="X13" s="1"/>
      <c r="Y13" s="1"/>
      <c r="Z13" s="1"/>
    </row>
    <row r="14" spans="2:30" x14ac:dyDescent="0.25">
      <c r="B14" s="285" t="str">
        <f>STN_9</f>
        <v>LDL</v>
      </c>
      <c r="C14" s="396"/>
      <c r="D14" s="396"/>
      <c r="E14" s="396">
        <v>0.25716814259806836</v>
      </c>
      <c r="F14" s="395">
        <v>0.49522123826795444</v>
      </c>
      <c r="G14" s="395">
        <v>0.24761061913397722</v>
      </c>
      <c r="H14" s="395"/>
      <c r="I14" s="53"/>
      <c r="J14" s="53"/>
      <c r="K14" s="53"/>
      <c r="L14" s="53"/>
      <c r="M14" s="53"/>
      <c r="N14" s="281">
        <f t="shared" si="1"/>
        <v>1</v>
      </c>
      <c r="R14" s="1"/>
      <c r="S14" s="1"/>
      <c r="T14" s="1"/>
      <c r="U14" s="1"/>
      <c r="V14" s="1"/>
      <c r="W14" s="1"/>
      <c r="X14" s="1"/>
      <c r="Y14" s="1"/>
      <c r="Z14" s="1"/>
    </row>
    <row r="15" spans="2:30" x14ac:dyDescent="0.25"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</row>
    <row r="16" spans="2:30" x14ac:dyDescent="0.25">
      <c r="B16" s="23"/>
      <c r="C16" s="23"/>
      <c r="D16" s="23"/>
      <c r="E16" s="282"/>
      <c r="F16" s="282"/>
      <c r="G16" s="282"/>
      <c r="H16" s="282"/>
      <c r="I16" s="282"/>
      <c r="J16" s="282"/>
      <c r="K16" s="282"/>
      <c r="L16" s="23"/>
      <c r="M16" s="23"/>
      <c r="N16" s="23"/>
    </row>
    <row r="17" spans="2:20" x14ac:dyDescent="0.25">
      <c r="B17" s="23"/>
      <c r="C17" s="23"/>
      <c r="D17" s="23"/>
      <c r="E17" s="23"/>
      <c r="F17" s="283"/>
      <c r="G17" s="283"/>
      <c r="H17" s="283"/>
      <c r="I17" s="283"/>
      <c r="J17" s="283"/>
      <c r="K17" s="281"/>
      <c r="L17" s="23"/>
      <c r="M17" s="23"/>
      <c r="N17" s="23"/>
      <c r="S17" s="410"/>
      <c r="T17" s="410"/>
    </row>
    <row r="18" spans="2:20" x14ac:dyDescent="0.25">
      <c r="F18" s="283"/>
      <c r="G18" s="283"/>
      <c r="H18" s="283"/>
      <c r="I18" s="283"/>
      <c r="J18" s="283"/>
      <c r="K18" s="281"/>
      <c r="S18" s="410"/>
      <c r="T18" s="410"/>
    </row>
    <row r="19" spans="2:20" x14ac:dyDescent="0.25">
      <c r="F19" s="283"/>
      <c r="G19" s="283"/>
      <c r="H19" s="283"/>
      <c r="I19" s="283"/>
      <c r="J19" s="283"/>
      <c r="K19" s="281"/>
      <c r="S19" s="22"/>
    </row>
    <row r="20" spans="2:20" x14ac:dyDescent="0.25">
      <c r="F20" s="283"/>
      <c r="G20" s="283"/>
      <c r="H20" s="283"/>
      <c r="I20" s="283"/>
      <c r="J20" s="283"/>
      <c r="K20" s="281"/>
    </row>
    <row r="21" spans="2:20" x14ac:dyDescent="0.25">
      <c r="F21" s="283"/>
      <c r="G21" s="283"/>
      <c r="H21" s="283"/>
      <c r="I21" s="283"/>
      <c r="J21" s="283"/>
      <c r="K21" s="281"/>
    </row>
    <row r="22" spans="2:20" x14ac:dyDescent="0.25">
      <c r="F22" s="283"/>
      <c r="G22" s="283"/>
      <c r="H22" s="283"/>
      <c r="I22" s="283"/>
      <c r="J22" s="283"/>
      <c r="K22" s="281"/>
    </row>
    <row r="23" spans="2:20" x14ac:dyDescent="0.25">
      <c r="F23" s="283"/>
      <c r="G23" s="283"/>
      <c r="H23" s="283"/>
      <c r="I23" s="283"/>
      <c r="J23" s="283"/>
      <c r="K23" s="281"/>
    </row>
    <row r="24" spans="2:20" x14ac:dyDescent="0.25">
      <c r="F24" s="283"/>
      <c r="G24" s="283"/>
      <c r="H24" s="283"/>
      <c r="I24" s="283"/>
      <c r="J24" s="283"/>
      <c r="K24" s="281"/>
    </row>
    <row r="25" spans="2:20" x14ac:dyDescent="0.25">
      <c r="F25" s="283"/>
      <c r="G25" s="283"/>
      <c r="H25" s="283"/>
      <c r="I25" s="283"/>
      <c r="J25" s="283"/>
      <c r="K25" s="281"/>
    </row>
    <row r="26" spans="2:20" x14ac:dyDescent="0.25">
      <c r="F26" s="283"/>
      <c r="G26" s="283"/>
      <c r="H26" s="283"/>
      <c r="I26" s="283"/>
      <c r="J26" s="283"/>
      <c r="K26" s="281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B1:AV140"/>
  <sheetViews>
    <sheetView zoomScale="85" zoomScaleNormal="85" workbookViewId="0">
      <pane xSplit="3" ySplit="4" topLeftCell="D5" activePane="bottomRight" state="frozen"/>
      <selection activeCell="K4" sqref="K4:P4"/>
      <selection pane="topRight" activeCell="K4" sqref="K4:P4"/>
      <selection pane="bottomLeft" activeCell="K4" sqref="K4:P4"/>
      <selection pane="bottomRight" activeCell="G11" sqref="G11"/>
    </sheetView>
  </sheetViews>
  <sheetFormatPr defaultRowHeight="15" outlineLevelRow="1" outlineLevelCol="1" x14ac:dyDescent="0.25"/>
  <cols>
    <col min="1" max="1" width="2.28515625" customWidth="1"/>
    <col min="2" max="2" width="3" customWidth="1"/>
    <col min="3" max="3" width="54.28515625" style="23" customWidth="1"/>
    <col min="4" max="4" width="20" customWidth="1" outlineLevel="1"/>
    <col min="5" max="6" width="15.28515625" customWidth="1" outlineLevel="1"/>
    <col min="7" max="7" width="9.28515625" customWidth="1"/>
    <col min="8" max="8" width="8.7109375" customWidth="1"/>
    <col min="9" max="9" width="10.7109375" customWidth="1"/>
    <col min="10" max="10" width="2.28515625" customWidth="1"/>
    <col min="11" max="11" width="9.7109375" bestFit="1" customWidth="1"/>
    <col min="12" max="12" width="9.5703125" bestFit="1" customWidth="1"/>
    <col min="13" max="13" width="9.42578125" style="108" customWidth="1"/>
    <col min="14" max="14" width="12.28515625" style="108" customWidth="1"/>
    <col min="15" max="15" width="10.42578125" style="108" customWidth="1"/>
    <col min="16" max="16" width="12.140625" style="108" customWidth="1"/>
    <col min="17" max="17" width="9.7109375" style="108" customWidth="1"/>
    <col min="18" max="18" width="9" style="108" customWidth="1"/>
    <col min="19" max="19" width="9.7109375" style="108" customWidth="1"/>
    <col min="20" max="22" width="9" style="108" customWidth="1"/>
    <col min="23" max="23" width="8.85546875" style="108" customWidth="1"/>
    <col min="24" max="24" width="8.85546875" customWidth="1"/>
    <col min="25" max="25" width="9.85546875" customWidth="1"/>
    <col min="26" max="35" width="8.85546875" hidden="1" customWidth="1" outlineLevel="1"/>
    <col min="36" max="36" width="8.85546875" customWidth="1" collapsed="1"/>
    <col min="37" max="37" width="8.85546875" style="273"/>
    <col min="38" max="38" width="41.42578125" customWidth="1"/>
    <col min="41" max="41" width="10.5703125" bestFit="1" customWidth="1"/>
    <col min="42" max="42" width="11.7109375" bestFit="1" customWidth="1"/>
    <col min="43" max="43" width="8.85546875" customWidth="1"/>
    <col min="44" max="44" width="10.7109375" bestFit="1" customWidth="1"/>
    <col min="45" max="46" width="13.28515625" bestFit="1" customWidth="1"/>
  </cols>
  <sheetData>
    <row r="1" spans="2:33" x14ac:dyDescent="0.25">
      <c r="N1" s="54"/>
      <c r="O1"/>
    </row>
    <row r="2" spans="2:33" x14ac:dyDescent="0.25">
      <c r="B2" s="24" t="str">
        <f>STN_1&amp;" Volumes &amp; Unit Rates"</f>
        <v>&lt;Spare&gt; Volumes &amp; Unit Rates</v>
      </c>
    </row>
    <row r="3" spans="2:33" x14ac:dyDescent="0.25">
      <c r="B3" s="23" t="str">
        <f>STN_1</f>
        <v>&lt;Spare&gt;</v>
      </c>
      <c r="G3" s="462" t="s">
        <v>21</v>
      </c>
      <c r="H3" s="463"/>
      <c r="I3" s="464"/>
      <c r="K3" s="462" t="s">
        <v>276</v>
      </c>
      <c r="L3" s="463"/>
      <c r="M3" s="463"/>
      <c r="N3" s="463"/>
      <c r="O3" s="463"/>
      <c r="P3" s="464"/>
      <c r="R3" s="462" t="s">
        <v>277</v>
      </c>
      <c r="S3" s="463"/>
      <c r="T3" s="463"/>
      <c r="U3" s="463"/>
      <c r="V3" s="463"/>
      <c r="W3" s="463"/>
      <c r="X3" s="464"/>
    </row>
    <row r="4" spans="2:33" ht="45" customHeight="1" x14ac:dyDescent="0.25">
      <c r="C4" s="323"/>
      <c r="D4" t="s">
        <v>5</v>
      </c>
      <c r="E4" t="s">
        <v>20</v>
      </c>
      <c r="G4" s="109" t="s">
        <v>278</v>
      </c>
      <c r="H4" s="110" t="s">
        <v>279</v>
      </c>
      <c r="I4" s="111" t="s">
        <v>280</v>
      </c>
      <c r="K4" s="111" t="s">
        <v>21</v>
      </c>
      <c r="L4" s="111" t="s">
        <v>22</v>
      </c>
      <c r="M4" s="109" t="s">
        <v>23</v>
      </c>
      <c r="N4" s="109" t="s">
        <v>24</v>
      </c>
      <c r="O4" s="112" t="s">
        <v>25</v>
      </c>
      <c r="P4" s="112" t="s">
        <v>26</v>
      </c>
      <c r="Q4" s="113" t="s">
        <v>281</v>
      </c>
      <c r="R4" s="114" t="s">
        <v>282</v>
      </c>
      <c r="S4" s="114" t="s">
        <v>82</v>
      </c>
      <c r="T4" s="114" t="s">
        <v>83</v>
      </c>
      <c r="U4" s="114" t="s">
        <v>84</v>
      </c>
      <c r="V4" s="114" t="s">
        <v>283</v>
      </c>
      <c r="W4" s="114" t="s">
        <v>85</v>
      </c>
      <c r="X4" s="115" t="s">
        <v>284</v>
      </c>
      <c r="Y4" s="115" t="s">
        <v>285</v>
      </c>
    </row>
    <row r="5" spans="2:33" x14ac:dyDescent="0.25">
      <c r="B5" s="116" t="s">
        <v>286</v>
      </c>
      <c r="C5" s="324"/>
      <c r="D5" s="117"/>
      <c r="E5" s="117"/>
      <c r="F5" s="117"/>
      <c r="G5" s="118"/>
      <c r="H5" s="110"/>
      <c r="I5" s="111"/>
      <c r="J5" s="117"/>
      <c r="K5" s="111"/>
      <c r="L5" s="111"/>
      <c r="M5" s="112"/>
      <c r="N5" s="109"/>
      <c r="O5" s="112"/>
      <c r="P5" s="112"/>
      <c r="R5" s="353">
        <f>Lab_Rates!$C$6*Escalators!C7*(1+Escalators!C17)*Escalators!$G$32</f>
        <v>162.48739067582716</v>
      </c>
      <c r="S5" s="353">
        <f>Lab_Rates!$C$7*Escalators!C7*(1+Escalators!C17)*Escalators!$G$32</f>
        <v>151.79743076294375</v>
      </c>
      <c r="T5" s="353">
        <f>Lab_Rates!$C$8*Escalators!C7*(1+Escalators!C17)*Escalators!$G$32</f>
        <v>176.38433856257552</v>
      </c>
      <c r="U5" s="353">
        <f>Lab_Rates!$C$9*Escalators!C7*(1+Escalators!C17)*Escalators!$G$32</f>
        <v>229.83413812699234</v>
      </c>
      <c r="V5" s="353">
        <f>Lab_Rates!$C$6*Escalators!C7*(1+Escalators!C17)*Escalators!$G$32</f>
        <v>162.48739067582716</v>
      </c>
      <c r="W5" s="353">
        <f>Lab_Rates!$C$10*Escalators!C7*(1+Escalators!C17)*Escalators!$G$32</f>
        <v>162.48739067582716</v>
      </c>
      <c r="X5" s="353">
        <f>Lab_Rates!$C$5*Escalators!C7*(1+Escalators!C17)*Escalators!$G$32</f>
        <v>133.62449891104205</v>
      </c>
    </row>
    <row r="6" spans="2:33" x14ac:dyDescent="0.25">
      <c r="B6" s="120"/>
      <c r="G6" s="121"/>
      <c r="H6" s="122"/>
      <c r="I6" s="123"/>
      <c r="K6" s="121"/>
      <c r="L6" s="121"/>
      <c r="M6" s="124"/>
      <c r="N6" s="125"/>
      <c r="O6" s="124"/>
      <c r="P6" s="126"/>
      <c r="R6" s="127"/>
      <c r="S6" s="127"/>
      <c r="T6" s="127"/>
      <c r="U6" s="127"/>
      <c r="V6" s="127"/>
      <c r="W6" s="127"/>
      <c r="X6" s="127"/>
    </row>
    <row r="7" spans="2:33" x14ac:dyDescent="0.25">
      <c r="B7" s="84" t="s">
        <v>343</v>
      </c>
      <c r="D7" t="s">
        <v>1</v>
      </c>
      <c r="E7" t="s">
        <v>1</v>
      </c>
      <c r="G7" s="128"/>
      <c r="H7" s="129"/>
      <c r="I7" s="130"/>
      <c r="K7" s="131"/>
      <c r="L7" s="352">
        <f>SUMPRODUCT(R$5:X$5,R7:X7)/Thousands</f>
        <v>0</v>
      </c>
      <c r="M7" s="132"/>
      <c r="N7" s="132"/>
      <c r="O7" s="128"/>
      <c r="P7" s="293">
        <f t="shared" ref="P7" si="0">SUM(K7:O7)</f>
        <v>0</v>
      </c>
      <c r="Q7" s="277"/>
      <c r="R7" s="134">
        <v>0</v>
      </c>
      <c r="S7" s="135"/>
      <c r="T7" s="135"/>
      <c r="U7" s="135"/>
      <c r="V7" s="135"/>
      <c r="W7" s="135"/>
      <c r="X7" s="135"/>
    </row>
    <row r="8" spans="2:33" x14ac:dyDescent="0.25">
      <c r="B8" s="136"/>
      <c r="C8" s="325"/>
      <c r="D8" s="46"/>
      <c r="E8" s="46"/>
      <c r="F8" s="46"/>
      <c r="G8" s="137"/>
      <c r="H8" s="138"/>
      <c r="I8" s="139"/>
      <c r="K8" s="140"/>
      <c r="L8" s="140"/>
      <c r="M8" s="137"/>
      <c r="N8" s="141"/>
      <c r="O8" s="141"/>
      <c r="P8" s="142"/>
      <c r="Q8" s="133"/>
      <c r="R8" s="127"/>
      <c r="S8" s="127"/>
      <c r="T8" s="127"/>
      <c r="U8" s="127"/>
      <c r="V8" s="127"/>
      <c r="W8" s="127"/>
      <c r="X8" s="127"/>
    </row>
    <row r="9" spans="2:33" x14ac:dyDescent="0.25">
      <c r="B9" s="143" t="s">
        <v>288</v>
      </c>
      <c r="C9" s="324"/>
      <c r="D9" s="117"/>
      <c r="E9" s="117"/>
      <c r="F9" s="117"/>
      <c r="G9" s="144"/>
      <c r="H9" s="110"/>
      <c r="I9" s="111"/>
      <c r="K9" s="145"/>
      <c r="L9" s="145"/>
      <c r="M9" s="144"/>
      <c r="N9" s="146"/>
      <c r="O9" s="146"/>
      <c r="P9" s="147"/>
      <c r="R9" s="127"/>
      <c r="S9" s="127"/>
      <c r="T9" s="127"/>
      <c r="U9" s="127"/>
      <c r="V9" s="127"/>
      <c r="W9" s="127"/>
      <c r="X9" s="127"/>
    </row>
    <row r="10" spans="2:33" x14ac:dyDescent="0.25">
      <c r="B10" s="84"/>
      <c r="C10" s="23" t="s">
        <v>289</v>
      </c>
      <c r="D10" t="s">
        <v>1</v>
      </c>
      <c r="E10" t="s">
        <v>1</v>
      </c>
      <c r="G10" s="128"/>
      <c r="H10" s="129"/>
      <c r="I10" s="130"/>
      <c r="K10" s="148"/>
      <c r="L10" s="172">
        <f>SUMPRODUCT(R$5:X$5,R10:X10)/Thousands</f>
        <v>0</v>
      </c>
      <c r="M10" s="150"/>
      <c r="N10" s="351">
        <v>0</v>
      </c>
      <c r="O10" s="151"/>
      <c r="P10" s="293">
        <f>SUM(K10:O10)</f>
        <v>0</v>
      </c>
      <c r="Q10" s="314"/>
      <c r="R10" s="134"/>
      <c r="S10" s="134"/>
      <c r="T10" s="134"/>
      <c r="U10" s="134"/>
      <c r="V10" s="134"/>
      <c r="W10" s="134"/>
      <c r="X10" s="134"/>
      <c r="Y10" s="304">
        <f>SUM(R10:X10)</f>
        <v>0</v>
      </c>
      <c r="AA10" s="6"/>
      <c r="AB10" s="6"/>
      <c r="AC10" s="6"/>
      <c r="AD10" s="6"/>
      <c r="AE10" s="6"/>
      <c r="AF10" s="6"/>
      <c r="AG10" s="6"/>
    </row>
    <row r="11" spans="2:33" x14ac:dyDescent="0.25">
      <c r="B11" s="84"/>
      <c r="C11" s="23" t="s">
        <v>290</v>
      </c>
      <c r="D11" t="s">
        <v>1</v>
      </c>
      <c r="E11" t="s">
        <v>1</v>
      </c>
      <c r="G11" s="128"/>
      <c r="H11" s="129"/>
      <c r="I11" s="130"/>
      <c r="K11" s="148"/>
      <c r="L11" s="172">
        <f>SUMPRODUCT(R$5:X$5,R11:X11)/Thousands</f>
        <v>0</v>
      </c>
      <c r="M11" s="150"/>
      <c r="N11" s="132"/>
      <c r="O11" s="151"/>
      <c r="P11" s="293">
        <f>SUM(K11:O11)</f>
        <v>0</v>
      </c>
      <c r="Q11" s="277"/>
      <c r="R11" s="134"/>
      <c r="S11" s="134"/>
      <c r="T11" s="134"/>
      <c r="U11" s="134"/>
      <c r="V11" s="134"/>
      <c r="W11" s="134"/>
      <c r="X11" s="134"/>
      <c r="Y11" s="304">
        <f t="shared" ref="Y11:Y13" si="1">SUM(R11:X11)</f>
        <v>0</v>
      </c>
      <c r="AA11" s="6"/>
      <c r="AB11" s="6"/>
      <c r="AC11" s="6"/>
      <c r="AD11" s="6"/>
      <c r="AE11" s="6"/>
      <c r="AF11" s="6"/>
      <c r="AG11" s="6"/>
    </row>
    <row r="12" spans="2:33" x14ac:dyDescent="0.25">
      <c r="B12" s="84"/>
      <c r="C12" s="23" t="s">
        <v>291</v>
      </c>
      <c r="D12" t="s">
        <v>1</v>
      </c>
      <c r="E12" t="s">
        <v>1</v>
      </c>
      <c r="G12" s="128"/>
      <c r="H12" s="129"/>
      <c r="I12" s="130"/>
      <c r="K12" s="148"/>
      <c r="L12" s="172">
        <f>SUMPRODUCT(R$5:X$5,R12:X12)/Thousands</f>
        <v>0</v>
      </c>
      <c r="M12" s="150"/>
      <c r="N12" s="351">
        <v>0</v>
      </c>
      <c r="O12" s="151"/>
      <c r="P12" s="293">
        <f>SUM(K12:O12)</f>
        <v>0</v>
      </c>
      <c r="Q12" s="314"/>
      <c r="R12" s="134"/>
      <c r="S12" s="134"/>
      <c r="T12" s="134"/>
      <c r="U12" s="134"/>
      <c r="V12" s="134"/>
      <c r="W12" s="134"/>
      <c r="X12" s="134"/>
      <c r="Y12" s="304">
        <f t="shared" si="1"/>
        <v>0</v>
      </c>
      <c r="AA12" s="6"/>
      <c r="AB12" s="6"/>
      <c r="AC12" s="6"/>
      <c r="AD12" s="6"/>
      <c r="AE12" s="6"/>
      <c r="AF12" s="6"/>
      <c r="AG12" s="6"/>
    </row>
    <row r="13" spans="2:33" x14ac:dyDescent="0.25">
      <c r="B13" s="84"/>
      <c r="C13" s="23" t="s">
        <v>292</v>
      </c>
      <c r="D13" t="s">
        <v>1</v>
      </c>
      <c r="E13" t="s">
        <v>1</v>
      </c>
      <c r="G13" s="128"/>
      <c r="H13" s="129"/>
      <c r="I13" s="130"/>
      <c r="K13" s="148"/>
      <c r="L13" s="172">
        <f>SUMPRODUCT(R$5:X$5,R13:X13)/Thousands</f>
        <v>0</v>
      </c>
      <c r="M13" s="150"/>
      <c r="N13" s="351">
        <v>0</v>
      </c>
      <c r="O13" s="151"/>
      <c r="P13" s="293">
        <f>SUM(K13:O13)</f>
        <v>0</v>
      </c>
      <c r="Q13" s="277"/>
      <c r="R13" s="134"/>
      <c r="S13" s="134"/>
      <c r="T13" s="134"/>
      <c r="U13" s="134"/>
      <c r="V13" s="134"/>
      <c r="W13" s="134"/>
      <c r="X13" s="134"/>
      <c r="Y13" s="304">
        <f t="shared" si="1"/>
        <v>0</v>
      </c>
      <c r="AA13" s="6"/>
      <c r="AB13" s="6"/>
      <c r="AC13" s="6"/>
      <c r="AD13" s="6"/>
      <c r="AE13" s="6"/>
      <c r="AF13" s="6"/>
      <c r="AG13" s="6"/>
    </row>
    <row r="14" spans="2:33" x14ac:dyDescent="0.25">
      <c r="B14" s="136"/>
      <c r="C14" s="325"/>
      <c r="D14" s="46"/>
      <c r="E14" s="46"/>
      <c r="F14" s="46"/>
      <c r="G14" s="140"/>
      <c r="H14" s="138"/>
      <c r="I14" s="139"/>
      <c r="K14" s="154"/>
      <c r="L14" s="155"/>
      <c r="M14" s="155"/>
      <c r="N14" s="156"/>
      <c r="O14" s="155"/>
      <c r="P14" s="157"/>
      <c r="R14" s="127"/>
      <c r="S14" s="127"/>
      <c r="T14" s="127"/>
      <c r="U14" s="127"/>
      <c r="V14" s="127"/>
      <c r="W14" s="127"/>
      <c r="X14" s="127"/>
    </row>
    <row r="15" spans="2:33" x14ac:dyDescent="0.25">
      <c r="B15" s="143" t="s">
        <v>293</v>
      </c>
      <c r="C15" s="324"/>
      <c r="D15" s="117"/>
      <c r="E15" s="117"/>
      <c r="F15" s="117"/>
      <c r="G15" s="158"/>
      <c r="H15" s="116"/>
      <c r="I15" s="159"/>
      <c r="K15" s="160"/>
      <c r="L15" s="160"/>
      <c r="M15" s="161"/>
      <c r="N15" s="161"/>
      <c r="O15" s="161"/>
      <c r="P15" s="162"/>
      <c r="Q15" s="163"/>
      <c r="R15" s="164"/>
      <c r="S15" s="127"/>
      <c r="T15" s="127"/>
      <c r="U15" s="127"/>
      <c r="V15" s="127"/>
      <c r="W15" s="127"/>
      <c r="X15" s="127"/>
      <c r="AA15" s="5"/>
      <c r="AB15" s="5"/>
      <c r="AC15" s="5"/>
      <c r="AD15" s="5"/>
      <c r="AE15" s="5"/>
      <c r="AF15" s="5"/>
      <c r="AG15" s="5"/>
    </row>
    <row r="16" spans="2:33" x14ac:dyDescent="0.25">
      <c r="B16" s="120" t="s">
        <v>114</v>
      </c>
      <c r="G16" s="166"/>
      <c r="H16" s="84"/>
      <c r="I16" s="167"/>
      <c r="J16" s="165"/>
      <c r="K16" s="149"/>
      <c r="L16" s="149"/>
      <c r="M16" s="168"/>
      <c r="N16" s="168"/>
      <c r="O16" s="168"/>
      <c r="P16" s="169"/>
      <c r="R16" s="127"/>
      <c r="S16" s="127"/>
      <c r="T16" s="127"/>
      <c r="U16" s="127"/>
      <c r="V16" s="127"/>
      <c r="W16" s="127"/>
      <c r="X16" s="127"/>
      <c r="AA16" s="5"/>
      <c r="AB16" s="5"/>
      <c r="AC16" s="5"/>
      <c r="AD16" s="5"/>
      <c r="AE16" s="5"/>
      <c r="AF16" s="5"/>
      <c r="AG16" s="5"/>
    </row>
    <row r="17" spans="2:48" x14ac:dyDescent="0.25">
      <c r="B17" s="84"/>
      <c r="C17" s="23" t="s">
        <v>353</v>
      </c>
      <c r="D17" s="23" t="str">
        <f>INDEX(Unit_Rates!$C$7:$K$113,MATCH($C17,Unit_Rates!$C$7:$C$113,0),5)</f>
        <v>Subtransmission</v>
      </c>
      <c r="E17" s="23" t="str">
        <f>INDEX(Unit_Rates!$C$7:$K$113,MATCH($C17,Unit_Rates!$C$7:$C$113,0),6)</f>
        <v>Augmentation</v>
      </c>
      <c r="F17" s="23" t="str">
        <f>D17&amp;E17</f>
        <v>SubtransmissionAugmentation</v>
      </c>
      <c r="G17" s="170">
        <f>INDEX(Unit_Rates!$C$7:$K$113,MATCH($C17,Unit_Rates!$C$7:$C$113,0),7)</f>
        <v>185.47500200000002</v>
      </c>
      <c r="H17" s="171"/>
      <c r="I17" s="123" t="s">
        <v>294</v>
      </c>
      <c r="J17" s="165"/>
      <c r="K17" s="172">
        <f t="shared" ref="K17:K25" si="2">G17*$H17</f>
        <v>0</v>
      </c>
      <c r="L17" s="173">
        <f t="shared" ref="L17:L50" si="3">SUMPRODUCT(R$5:X$5,R17:X17)/Thousands</f>
        <v>0</v>
      </c>
      <c r="M17" s="174"/>
      <c r="N17" s="182">
        <f>$H17*INDEX(Unit_Rates!$C$7:$K$113,MATCH($C17,Unit_Rates!$C$7:$C$113,0),8)</f>
        <v>0</v>
      </c>
      <c r="O17" s="182">
        <f>$H17*INDEX(Unit_Rates!$C$7:$K$113,MATCH($C17,Unit_Rates!$C$7:$C$113,0),9)</f>
        <v>0</v>
      </c>
      <c r="P17" s="293">
        <f t="shared" ref="P17:P45" si="4">SUM(K17:O17)</f>
        <v>0</v>
      </c>
      <c r="Q17" s="314">
        <f>P17-H17*VLOOKUP(C17,Unit_Rates!$C$7:$E$113,3,FALSE)</f>
        <v>0</v>
      </c>
      <c r="R17" s="134">
        <v>0</v>
      </c>
      <c r="S17" s="134">
        <v>0</v>
      </c>
      <c r="T17" s="134">
        <v>0</v>
      </c>
      <c r="U17" s="134">
        <v>0</v>
      </c>
      <c r="V17" s="134">
        <v>0</v>
      </c>
      <c r="W17" s="134">
        <v>0</v>
      </c>
      <c r="X17" s="134">
        <v>0</v>
      </c>
      <c r="Y17" s="304">
        <f t="shared" ref="Y17:Y50" si="5">SUM(R17:X17)</f>
        <v>0</v>
      </c>
      <c r="AA17" s="5"/>
      <c r="AB17" s="5"/>
      <c r="AC17" s="5"/>
      <c r="AD17" s="5"/>
      <c r="AE17" s="5"/>
      <c r="AF17" s="5"/>
      <c r="AG17" s="5"/>
    </row>
    <row r="18" spans="2:48" x14ac:dyDescent="0.25">
      <c r="B18" s="84"/>
      <c r="C18" s="23" t="s">
        <v>354</v>
      </c>
      <c r="D18" s="23" t="str">
        <f>INDEX(Unit_Rates!$C$7:$K$113,MATCH($C18,Unit_Rates!$C$7:$C$113,0),5)</f>
        <v>Subtransmission</v>
      </c>
      <c r="E18" s="23" t="str">
        <f>INDEX(Unit_Rates!$C$7:$K$113,MATCH($C18,Unit_Rates!$C$7:$C$113,0),6)</f>
        <v>Augmentation</v>
      </c>
      <c r="F18" s="23" t="str">
        <f t="shared" ref="F18:F50" si="6">D18&amp;E18</f>
        <v>SubtransmissionAugmentation</v>
      </c>
      <c r="G18" s="170">
        <f>INDEX(Unit_Rates!$C$7:$K$113,MATCH($C18,Unit_Rates!$C$7:$C$113,0),7)</f>
        <v>74.154499800000011</v>
      </c>
      <c r="H18" s="171"/>
      <c r="I18" s="123" t="s">
        <v>294</v>
      </c>
      <c r="J18" s="165"/>
      <c r="K18" s="172">
        <f t="shared" si="2"/>
        <v>0</v>
      </c>
      <c r="L18" s="173">
        <f t="shared" si="3"/>
        <v>0</v>
      </c>
      <c r="M18" s="174"/>
      <c r="N18" s="182">
        <f>$H18*INDEX(Unit_Rates!$C$7:$K$113,MATCH($C18,Unit_Rates!$C$7:$C$113,0),8)</f>
        <v>0</v>
      </c>
      <c r="O18" s="182">
        <f>$H18*INDEX(Unit_Rates!$C$7:$K$113,MATCH($C18,Unit_Rates!$C$7:$C$113,0),9)</f>
        <v>0</v>
      </c>
      <c r="P18" s="293">
        <f t="shared" si="4"/>
        <v>0</v>
      </c>
      <c r="Q18" s="314">
        <f>P18-H18*VLOOKUP(C18,Unit_Rates!$C$7:$E$113,3,FALSE)</f>
        <v>0</v>
      </c>
      <c r="R18" s="134">
        <v>0</v>
      </c>
      <c r="S18" s="134">
        <v>0</v>
      </c>
      <c r="T18" s="134">
        <v>0</v>
      </c>
      <c r="U18" s="134">
        <v>0</v>
      </c>
      <c r="V18" s="134">
        <v>0</v>
      </c>
      <c r="W18" s="134">
        <v>0</v>
      </c>
      <c r="X18" s="134">
        <v>0</v>
      </c>
      <c r="Y18" s="304">
        <f t="shared" si="5"/>
        <v>0</v>
      </c>
      <c r="AA18" s="5"/>
      <c r="AB18" s="5"/>
      <c r="AC18" s="5"/>
      <c r="AD18" s="5"/>
      <c r="AE18" s="5"/>
      <c r="AF18" s="5"/>
      <c r="AG18" s="5"/>
    </row>
    <row r="19" spans="2:48" x14ac:dyDescent="0.25">
      <c r="B19" s="84"/>
      <c r="C19" s="23" t="s">
        <v>355</v>
      </c>
      <c r="D19" s="23" t="str">
        <f>INDEX(Unit_Rates!$C$7:$K$113,MATCH($C19,Unit_Rates!$C$7:$C$113,0),5)</f>
        <v>Subtransmission</v>
      </c>
      <c r="E19" s="23" t="str">
        <f>INDEX(Unit_Rates!$C$7:$K$113,MATCH($C19,Unit_Rates!$C$7:$C$113,0),6)</f>
        <v>Augmentation</v>
      </c>
      <c r="F19" s="23" t="str">
        <f t="shared" si="6"/>
        <v>SubtransmissionAugmentation</v>
      </c>
      <c r="G19" s="170">
        <f>INDEX(Unit_Rates!$C$7:$K$113,MATCH($C19,Unit_Rates!$C$7:$C$113,0),7)</f>
        <v>37.493999250000002</v>
      </c>
      <c r="H19" s="171"/>
      <c r="I19" s="123" t="s">
        <v>294</v>
      </c>
      <c r="J19" s="165"/>
      <c r="K19" s="172">
        <f t="shared" si="2"/>
        <v>0</v>
      </c>
      <c r="L19" s="173">
        <f t="shared" si="3"/>
        <v>0</v>
      </c>
      <c r="M19" s="174"/>
      <c r="N19" s="182">
        <f>$H19*INDEX(Unit_Rates!$C$7:$K$113,MATCH($C19,Unit_Rates!$C$7:$C$113,0),8)</f>
        <v>0</v>
      </c>
      <c r="O19" s="182">
        <f>$H19*INDEX(Unit_Rates!$C$7:$K$113,MATCH($C19,Unit_Rates!$C$7:$C$113,0),9)</f>
        <v>0</v>
      </c>
      <c r="P19" s="293">
        <f t="shared" si="4"/>
        <v>0</v>
      </c>
      <c r="Q19" s="314">
        <f>P19-H19*VLOOKUP(C19,Unit_Rates!$C$7:$E$113,3,FALSE)</f>
        <v>0</v>
      </c>
      <c r="R19" s="134">
        <v>0</v>
      </c>
      <c r="S19" s="134">
        <v>0</v>
      </c>
      <c r="T19" s="134">
        <v>0</v>
      </c>
      <c r="U19" s="134">
        <v>0</v>
      </c>
      <c r="V19" s="134">
        <v>0</v>
      </c>
      <c r="W19" s="134">
        <v>0</v>
      </c>
      <c r="X19" s="134">
        <v>0</v>
      </c>
      <c r="Y19" s="304">
        <f t="shared" si="5"/>
        <v>0</v>
      </c>
      <c r="AA19" s="5"/>
      <c r="AB19" s="5"/>
      <c r="AC19" s="5"/>
      <c r="AD19" s="5"/>
      <c r="AE19" s="5"/>
      <c r="AF19" s="5"/>
      <c r="AG19" s="5"/>
      <c r="AK19" s="349"/>
      <c r="AL19" s="349"/>
      <c r="AM19" s="349"/>
      <c r="AN19" s="349"/>
      <c r="AO19" s="349"/>
      <c r="AP19" s="349"/>
      <c r="AQ19" s="349"/>
      <c r="AR19" s="349"/>
      <c r="AS19" s="349"/>
      <c r="AT19" s="349"/>
      <c r="AU19" s="349"/>
      <c r="AV19" s="349"/>
    </row>
    <row r="20" spans="2:48" x14ac:dyDescent="0.25">
      <c r="B20" s="84"/>
      <c r="C20" s="23" t="s">
        <v>340</v>
      </c>
      <c r="D20" s="23" t="str">
        <f>INDEX(Unit_Rates!$C$7:$K$113,MATCH($C20,Unit_Rates!$C$7:$C$113,0),5)</f>
        <v>Subtransmission</v>
      </c>
      <c r="E20" s="23" t="str">
        <f>INDEX(Unit_Rates!$C$7:$K$113,MATCH($C20,Unit_Rates!$C$7:$C$113,0),6)</f>
        <v>Augmentation</v>
      </c>
      <c r="F20" s="23" t="str">
        <f t="shared" si="6"/>
        <v>SubtransmissionAugmentation</v>
      </c>
      <c r="G20" s="170">
        <f>INDEX(Unit_Rates!$C$7:$K$113,MATCH($C20,Unit_Rates!$C$7:$C$113,0),7)</f>
        <v>787.07449999999994</v>
      </c>
      <c r="H20" s="171"/>
      <c r="I20" s="123" t="s">
        <v>294</v>
      </c>
      <c r="J20" s="165"/>
      <c r="K20" s="172">
        <f t="shared" si="2"/>
        <v>0</v>
      </c>
      <c r="L20" s="173">
        <f t="shared" si="3"/>
        <v>0</v>
      </c>
      <c r="M20" s="174"/>
      <c r="N20" s="182">
        <f>$H20*INDEX(Unit_Rates!$C$7:$K$113,MATCH($C20,Unit_Rates!$C$7:$C$113,0),8)</f>
        <v>0</v>
      </c>
      <c r="O20" s="182">
        <f>$H20*INDEX(Unit_Rates!$C$7:$K$113,MATCH($C20,Unit_Rates!$C$7:$C$113,0),9)</f>
        <v>0</v>
      </c>
      <c r="P20" s="293">
        <f t="shared" si="4"/>
        <v>0</v>
      </c>
      <c r="Q20" s="314">
        <f>P20-H20*VLOOKUP(C20,Unit_Rates!$C$7:$E$113,3,FALSE)</f>
        <v>0</v>
      </c>
      <c r="R20" s="134">
        <v>0</v>
      </c>
      <c r="S20" s="134">
        <v>0</v>
      </c>
      <c r="T20" s="134">
        <v>0</v>
      </c>
      <c r="U20" s="134">
        <v>0</v>
      </c>
      <c r="V20" s="134">
        <v>0</v>
      </c>
      <c r="W20" s="134">
        <v>0</v>
      </c>
      <c r="X20" s="134">
        <v>0</v>
      </c>
      <c r="Y20" s="304">
        <f t="shared" si="5"/>
        <v>0</v>
      </c>
      <c r="AA20" s="5"/>
      <c r="AB20" s="5"/>
      <c r="AC20" s="5"/>
      <c r="AD20" s="5"/>
      <c r="AE20" s="5"/>
      <c r="AF20" s="5"/>
      <c r="AG20" s="5"/>
      <c r="AK20" s="349"/>
      <c r="AL20" s="354"/>
      <c r="AM20" s="349"/>
      <c r="AN20" s="349"/>
      <c r="AO20" s="349"/>
      <c r="AP20" s="349"/>
      <c r="AQ20" s="349"/>
      <c r="AR20" s="349"/>
      <c r="AS20" s="349"/>
      <c r="AT20" s="349"/>
      <c r="AU20" s="349"/>
      <c r="AV20" s="349"/>
    </row>
    <row r="21" spans="2:48" x14ac:dyDescent="0.25">
      <c r="B21" s="84"/>
      <c r="C21" s="23" t="s">
        <v>352</v>
      </c>
      <c r="D21" s="23" t="str">
        <f>INDEX(Unit_Rates!$C$7:$K$113,MATCH($C21,Unit_Rates!$C$7:$C$113,0),5)</f>
        <v>Subtransmission</v>
      </c>
      <c r="E21" s="23" t="str">
        <f>INDEX(Unit_Rates!$C$7:$K$113,MATCH($C21,Unit_Rates!$C$7:$C$113,0),6)</f>
        <v>Augmentation</v>
      </c>
      <c r="F21" s="23" t="str">
        <f t="shared" si="6"/>
        <v>SubtransmissionAugmentation</v>
      </c>
      <c r="G21" s="170">
        <f>INDEX(Unit_Rates!$C$7:$K$113,MATCH($C21,Unit_Rates!$C$7:$C$113,0),7)</f>
        <v>41.255909799999998</v>
      </c>
      <c r="H21" s="171"/>
      <c r="I21" s="123" t="s">
        <v>294</v>
      </c>
      <c r="J21" s="165"/>
      <c r="K21" s="172">
        <f t="shared" si="2"/>
        <v>0</v>
      </c>
      <c r="L21" s="173">
        <f t="shared" si="3"/>
        <v>0</v>
      </c>
      <c r="M21" s="174"/>
      <c r="N21" s="182">
        <f>$H21*INDEX(Unit_Rates!$C$7:$K$113,MATCH($C21,Unit_Rates!$C$7:$C$113,0),8)</f>
        <v>0</v>
      </c>
      <c r="O21" s="182">
        <f>$H21*INDEX(Unit_Rates!$C$7:$K$113,MATCH($C21,Unit_Rates!$C$7:$C$113,0),9)</f>
        <v>0</v>
      </c>
      <c r="P21" s="293">
        <f t="shared" si="4"/>
        <v>0</v>
      </c>
      <c r="Q21" s="314">
        <f>P21-H21*VLOOKUP(C21,Unit_Rates!$C$7:$E$113,3,FALSE)</f>
        <v>0</v>
      </c>
      <c r="R21" s="134">
        <v>0</v>
      </c>
      <c r="S21" s="134">
        <v>0</v>
      </c>
      <c r="T21" s="134">
        <v>0</v>
      </c>
      <c r="U21" s="134">
        <v>0</v>
      </c>
      <c r="V21" s="134">
        <v>0</v>
      </c>
      <c r="W21" s="134">
        <v>0</v>
      </c>
      <c r="X21" s="134">
        <v>0</v>
      </c>
      <c r="Y21" s="304">
        <f t="shared" si="5"/>
        <v>0</v>
      </c>
      <c r="AA21" s="5"/>
      <c r="AB21" s="5"/>
      <c r="AC21" s="5"/>
      <c r="AD21" s="5"/>
      <c r="AE21" s="5"/>
      <c r="AF21" s="5"/>
      <c r="AG21" s="5"/>
      <c r="AK21" s="349"/>
      <c r="AL21" s="349"/>
      <c r="AM21" s="349"/>
      <c r="AN21" s="349"/>
      <c r="AO21" s="349"/>
      <c r="AP21" s="349"/>
      <c r="AQ21" s="349"/>
      <c r="AR21" s="349"/>
      <c r="AS21" s="349"/>
      <c r="AT21" s="349"/>
      <c r="AU21" s="349"/>
      <c r="AV21" s="349"/>
    </row>
    <row r="22" spans="2:48" x14ac:dyDescent="0.25">
      <c r="B22" s="84"/>
      <c r="C22" s="23" t="s">
        <v>342</v>
      </c>
      <c r="D22" s="23" t="str">
        <f>INDEX(Unit_Rates!$C$7:$K$113,MATCH($C22,Unit_Rates!$C$7:$C$113,0),5)</f>
        <v>Subtransmission</v>
      </c>
      <c r="E22" s="23" t="str">
        <f>INDEX(Unit_Rates!$C$7:$K$113,MATCH($C22,Unit_Rates!$C$7:$C$113,0),6)</f>
        <v>Augmentation</v>
      </c>
      <c r="F22" s="23" t="str">
        <f t="shared" si="6"/>
        <v>SubtransmissionAugmentation</v>
      </c>
      <c r="G22" s="170">
        <f>INDEX(Unit_Rates!$C$7:$K$113,MATCH($C22,Unit_Rates!$C$7:$C$113,0),7)</f>
        <v>106.81319599999999</v>
      </c>
      <c r="H22" s="171"/>
      <c r="I22" s="123" t="s">
        <v>294</v>
      </c>
      <c r="J22" s="165"/>
      <c r="K22" s="172">
        <f t="shared" si="2"/>
        <v>0</v>
      </c>
      <c r="L22" s="173">
        <f t="shared" si="3"/>
        <v>0</v>
      </c>
      <c r="M22" s="174"/>
      <c r="N22" s="182">
        <f>$H22*INDEX(Unit_Rates!$C$7:$K$113,MATCH($C22,Unit_Rates!$C$7:$C$113,0),8)</f>
        <v>0</v>
      </c>
      <c r="O22" s="182">
        <f>$H22*INDEX(Unit_Rates!$C$7:$K$113,MATCH($C22,Unit_Rates!$C$7:$C$113,0),9)</f>
        <v>0</v>
      </c>
      <c r="P22" s="293">
        <f t="shared" si="4"/>
        <v>0</v>
      </c>
      <c r="Q22" s="314">
        <f>P22-H22*VLOOKUP(C22,Unit_Rates!$C$7:$E$113,3,FALSE)</f>
        <v>0</v>
      </c>
      <c r="R22" s="134">
        <v>0</v>
      </c>
      <c r="S22" s="134">
        <v>0</v>
      </c>
      <c r="T22" s="134">
        <v>0</v>
      </c>
      <c r="U22" s="134">
        <v>0</v>
      </c>
      <c r="V22" s="134">
        <v>0</v>
      </c>
      <c r="W22" s="134">
        <v>0</v>
      </c>
      <c r="X22" s="134">
        <v>0</v>
      </c>
      <c r="Y22" s="304">
        <f t="shared" si="5"/>
        <v>0</v>
      </c>
      <c r="AA22" s="5"/>
      <c r="AB22" s="5"/>
      <c r="AC22" s="5"/>
      <c r="AD22" s="5"/>
      <c r="AE22" s="5"/>
      <c r="AF22" s="5"/>
      <c r="AG22" s="5"/>
      <c r="AK22" s="349"/>
      <c r="AL22" s="349"/>
      <c r="AM22" s="349"/>
      <c r="AN22" s="349"/>
      <c r="AO22" s="355"/>
      <c r="AP22" s="355"/>
      <c r="AQ22" s="355"/>
      <c r="AR22" s="355"/>
      <c r="AS22" s="355"/>
      <c r="AT22" s="355"/>
      <c r="AU22" s="349"/>
      <c r="AV22" s="349"/>
    </row>
    <row r="23" spans="2:48" x14ac:dyDescent="0.25">
      <c r="B23" s="84"/>
      <c r="C23" s="23" t="s">
        <v>357</v>
      </c>
      <c r="D23" s="23" t="str">
        <f>INDEX(Unit_Rates!$C$7:$K$113,MATCH($C23,Unit_Rates!$C$7:$C$113,0),5)</f>
        <v>Subtransmission</v>
      </c>
      <c r="E23" s="23" t="str">
        <f>INDEX(Unit_Rates!$C$7:$K$113,MATCH($C23,Unit_Rates!$C$7:$C$113,0),6)</f>
        <v>Augmentation</v>
      </c>
      <c r="F23" s="23" t="str">
        <f t="shared" si="6"/>
        <v>SubtransmissionAugmentation</v>
      </c>
      <c r="G23" s="170">
        <f>INDEX(Unit_Rates!$C$7:$K$113,MATCH($C23,Unit_Rates!$C$7:$C$113,0),7)</f>
        <v>58.265687</v>
      </c>
      <c r="H23" s="171"/>
      <c r="I23" s="123" t="s">
        <v>294</v>
      </c>
      <c r="J23" s="165"/>
      <c r="K23" s="172">
        <f t="shared" si="2"/>
        <v>0</v>
      </c>
      <c r="L23" s="173">
        <f t="shared" si="3"/>
        <v>0</v>
      </c>
      <c r="M23" s="174"/>
      <c r="N23" s="182">
        <f>$H23*INDEX(Unit_Rates!$C$7:$K$113,MATCH($C23,Unit_Rates!$C$7:$C$113,0),8)</f>
        <v>0</v>
      </c>
      <c r="O23" s="182">
        <f>$H23*INDEX(Unit_Rates!$C$7:$K$113,MATCH($C23,Unit_Rates!$C$7:$C$113,0),9)</f>
        <v>0</v>
      </c>
      <c r="P23" s="293">
        <f t="shared" si="4"/>
        <v>0</v>
      </c>
      <c r="Q23" s="314">
        <f>P23-H23*VLOOKUP(C23,Unit_Rates!$C$7:$E$113,3,FALSE)</f>
        <v>0</v>
      </c>
      <c r="R23" s="134">
        <v>0</v>
      </c>
      <c r="S23" s="134">
        <v>0</v>
      </c>
      <c r="T23" s="134">
        <v>0</v>
      </c>
      <c r="U23" s="134">
        <v>0</v>
      </c>
      <c r="V23" s="134">
        <v>0</v>
      </c>
      <c r="W23" s="134">
        <v>0</v>
      </c>
      <c r="X23" s="134">
        <v>0</v>
      </c>
      <c r="Y23" s="304">
        <f t="shared" si="5"/>
        <v>0</v>
      </c>
      <c r="AK23" s="349"/>
      <c r="AL23" s="349"/>
      <c r="AM23" s="349"/>
      <c r="AN23" s="349"/>
      <c r="AO23" s="355"/>
      <c r="AP23" s="355"/>
      <c r="AQ23" s="355"/>
      <c r="AR23" s="355"/>
      <c r="AS23" s="355"/>
      <c r="AT23" s="355"/>
      <c r="AU23" s="349"/>
      <c r="AV23" s="349"/>
    </row>
    <row r="24" spans="2:48" x14ac:dyDescent="0.25">
      <c r="B24" s="84"/>
      <c r="C24" s="23" t="s">
        <v>416</v>
      </c>
      <c r="D24" s="23" t="str">
        <f>INDEX(Unit_Rates!$C$7:$K$113,MATCH($C24,Unit_Rates!$C$7:$C$113,0),5)</f>
        <v>Subtransmission</v>
      </c>
      <c r="E24" s="23" t="str">
        <f>INDEX(Unit_Rates!$C$7:$K$113,MATCH($C24,Unit_Rates!$C$7:$C$113,0),6)</f>
        <v>Augmentation</v>
      </c>
      <c r="F24" s="23" t="str">
        <f t="shared" ref="F24" si="7">D24&amp;E24</f>
        <v>SubtransmissionAugmentation</v>
      </c>
      <c r="G24" s="170">
        <f>INDEX(Unit_Rates!$C$7:$K$113,MATCH($C24,Unit_Rates!$C$7:$C$113,0),7)</f>
        <v>169.007993</v>
      </c>
      <c r="H24" s="171"/>
      <c r="I24" s="123" t="s">
        <v>294</v>
      </c>
      <c r="J24" s="165"/>
      <c r="K24" s="172">
        <f t="shared" ref="K24" si="8">G24*$H24</f>
        <v>0</v>
      </c>
      <c r="L24" s="173">
        <f t="shared" ref="L24" si="9">SUMPRODUCT(R$5:X$5,R24:X24)/Thousands</f>
        <v>0</v>
      </c>
      <c r="M24" s="174"/>
      <c r="N24" s="182">
        <f>$H24*INDEX(Unit_Rates!$C$7:$K$113,MATCH($C24,Unit_Rates!$C$7:$C$113,0),8)</f>
        <v>0</v>
      </c>
      <c r="O24" s="182">
        <f>$H24*INDEX(Unit_Rates!$C$7:$K$113,MATCH($C24,Unit_Rates!$C$7:$C$113,0),9)</f>
        <v>0</v>
      </c>
      <c r="P24" s="293">
        <f t="shared" ref="P24" si="10">SUM(K24:O24)</f>
        <v>0</v>
      </c>
      <c r="Q24" s="314">
        <f>P24-H24*VLOOKUP(C24,Unit_Rates!$C$7:$E$113,3,FALSE)</f>
        <v>0</v>
      </c>
      <c r="R24" s="134">
        <v>0</v>
      </c>
      <c r="S24" s="134">
        <v>0</v>
      </c>
      <c r="T24" s="134">
        <v>0</v>
      </c>
      <c r="U24" s="134">
        <v>0</v>
      </c>
      <c r="V24" s="134">
        <v>0</v>
      </c>
      <c r="W24" s="134">
        <v>0</v>
      </c>
      <c r="X24" s="134">
        <v>0</v>
      </c>
      <c r="Y24" s="304">
        <f t="shared" ref="Y24" si="11">SUM(R24:X24)</f>
        <v>0</v>
      </c>
      <c r="AK24" s="349"/>
      <c r="AL24" s="349"/>
      <c r="AM24" s="349"/>
      <c r="AN24" s="349"/>
      <c r="AO24" s="355"/>
      <c r="AP24" s="355"/>
      <c r="AQ24" s="355"/>
      <c r="AR24" s="355"/>
      <c r="AS24" s="355"/>
      <c r="AT24" s="355"/>
      <c r="AU24" s="349"/>
      <c r="AV24" s="349"/>
    </row>
    <row r="25" spans="2:48" x14ac:dyDescent="0.25">
      <c r="B25" s="84"/>
      <c r="C25" s="23" t="s">
        <v>122</v>
      </c>
      <c r="D25" s="23" t="str">
        <f>INDEX(Unit_Rates!$C$7:$K$113,MATCH($C25,Unit_Rates!$C$7:$C$113,0),5)</f>
        <v>Subtransmission</v>
      </c>
      <c r="E25" s="23" t="str">
        <f>INDEX(Unit_Rates!$C$7:$K$113,MATCH($C25,Unit_Rates!$C$7:$C$113,0),6)</f>
        <v>Augmentation</v>
      </c>
      <c r="F25" s="23" t="str">
        <f t="shared" si="6"/>
        <v>SubtransmissionAugmentation</v>
      </c>
      <c r="G25" s="170">
        <f>INDEX(Unit_Rates!$C$7:$K$113,MATCH($C25,Unit_Rates!$C$7:$C$113,0),7)</f>
        <v>72.618999999999986</v>
      </c>
      <c r="H25" s="171"/>
      <c r="I25" s="175" t="s">
        <v>294</v>
      </c>
      <c r="J25" s="176"/>
      <c r="K25" s="177">
        <f t="shared" si="2"/>
        <v>0</v>
      </c>
      <c r="L25" s="177">
        <f t="shared" si="3"/>
        <v>0</v>
      </c>
      <c r="M25" s="178"/>
      <c r="N25" s="182">
        <f>$H25*INDEX(Unit_Rates!$C$7:$K$113,MATCH($C25,Unit_Rates!$C$7:$C$113,0),8)</f>
        <v>0</v>
      </c>
      <c r="O25" s="182">
        <f>$H25*INDEX(Unit_Rates!$C$7:$K$113,MATCH($C25,Unit_Rates!$C$7:$C$113,0),9)</f>
        <v>0</v>
      </c>
      <c r="P25" s="437">
        <f t="shared" si="4"/>
        <v>0</v>
      </c>
      <c r="Q25" s="314">
        <f>P25-H25*VLOOKUP(C25,Unit_Rates!$C$7:$E$113,3,FALSE)</f>
        <v>0</v>
      </c>
      <c r="R25" s="134">
        <v>0</v>
      </c>
      <c r="S25" s="134">
        <v>0</v>
      </c>
      <c r="T25" s="134">
        <v>0</v>
      </c>
      <c r="U25" s="134">
        <v>0</v>
      </c>
      <c r="V25" s="134">
        <v>0</v>
      </c>
      <c r="W25" s="134">
        <v>0</v>
      </c>
      <c r="X25" s="134">
        <v>0</v>
      </c>
      <c r="Y25" s="304">
        <f t="shared" si="5"/>
        <v>0</v>
      </c>
      <c r="AA25" s="5"/>
      <c r="AB25" s="5"/>
      <c r="AC25" s="5"/>
      <c r="AD25" s="5"/>
      <c r="AE25" s="5"/>
      <c r="AF25" s="5"/>
      <c r="AG25" s="5"/>
      <c r="AK25" s="349"/>
      <c r="AL25" s="349"/>
      <c r="AM25" s="349"/>
      <c r="AN25" s="349"/>
      <c r="AO25" s="355"/>
      <c r="AP25" s="355"/>
      <c r="AQ25" s="355"/>
      <c r="AR25" s="355"/>
      <c r="AS25" s="355"/>
      <c r="AT25" s="355"/>
      <c r="AU25" s="349"/>
      <c r="AV25" s="349"/>
    </row>
    <row r="26" spans="2:48" x14ac:dyDescent="0.25">
      <c r="B26" s="84"/>
      <c r="C26" s="23" t="s">
        <v>128</v>
      </c>
      <c r="D26" s="23" t="str">
        <f>INDEX(Unit_Rates!$C$7:$K$113,MATCH($C26,Unit_Rates!$C$7:$C$113,0),5)</f>
        <v>Subtransmission</v>
      </c>
      <c r="E26" s="23" t="str">
        <f>INDEX(Unit_Rates!$C$7:$K$113,MATCH($C26,Unit_Rates!$C$7:$C$113,0),6)</f>
        <v>Augmentation</v>
      </c>
      <c r="F26" s="23" t="str">
        <f t="shared" si="6"/>
        <v>SubtransmissionAugmentation</v>
      </c>
      <c r="G26" s="170">
        <f>INDEX(Unit_Rates!$C$7:$K$113,MATCH($C26,Unit_Rates!$C$7:$C$113,0),7)</f>
        <v>39.294999999999995</v>
      </c>
      <c r="H26" s="171"/>
      <c r="I26" s="123" t="s">
        <v>294</v>
      </c>
      <c r="J26" s="165"/>
      <c r="K26" s="172">
        <f>G26*H26</f>
        <v>0</v>
      </c>
      <c r="L26" s="173">
        <f t="shared" si="3"/>
        <v>0</v>
      </c>
      <c r="M26" s="174"/>
      <c r="N26" s="182">
        <f>$H26*INDEX(Unit_Rates!$C$7:$K$113,MATCH($C26,Unit_Rates!$C$7:$C$113,0),8)</f>
        <v>0</v>
      </c>
      <c r="O26" s="182">
        <f>$H26*INDEX(Unit_Rates!$C$7:$K$113,MATCH($C26,Unit_Rates!$C$7:$C$113,0),9)</f>
        <v>0</v>
      </c>
      <c r="P26" s="293">
        <f t="shared" si="4"/>
        <v>0</v>
      </c>
      <c r="Q26" s="314">
        <f>P26-H26*VLOOKUP(C26,Unit_Rates!$C$7:$E$113,3,FALSE)</f>
        <v>0</v>
      </c>
      <c r="R26" s="134">
        <v>0</v>
      </c>
      <c r="S26" s="134">
        <v>0</v>
      </c>
      <c r="T26" s="134">
        <v>0</v>
      </c>
      <c r="U26" s="134">
        <v>0</v>
      </c>
      <c r="V26" s="134">
        <v>0</v>
      </c>
      <c r="W26" s="134">
        <v>0</v>
      </c>
      <c r="X26" s="134">
        <v>0</v>
      </c>
      <c r="Y26" s="304">
        <f t="shared" si="5"/>
        <v>0</v>
      </c>
      <c r="AA26" s="5"/>
      <c r="AB26" s="5"/>
      <c r="AC26" s="5"/>
      <c r="AD26" s="5"/>
      <c r="AE26" s="5"/>
      <c r="AF26" s="5"/>
      <c r="AG26" s="5"/>
      <c r="AK26" s="349"/>
      <c r="AL26" s="349"/>
      <c r="AM26" s="349"/>
      <c r="AN26" s="349"/>
      <c r="AO26" s="349"/>
      <c r="AP26" s="349"/>
      <c r="AQ26" s="349"/>
      <c r="AR26" s="349"/>
      <c r="AS26" s="349"/>
      <c r="AT26" s="349"/>
      <c r="AU26" s="349"/>
      <c r="AV26" s="349"/>
    </row>
    <row r="27" spans="2:48" x14ac:dyDescent="0.25">
      <c r="B27" s="84"/>
      <c r="C27" s="23" t="s">
        <v>132</v>
      </c>
      <c r="D27" s="23" t="str">
        <f>INDEX(Unit_Rates!$C$7:$K$113,MATCH($C27,Unit_Rates!$C$7:$C$113,0),5)</f>
        <v>Subtransmission</v>
      </c>
      <c r="E27" s="23" t="str">
        <f>INDEX(Unit_Rates!$C$7:$K$113,MATCH($C27,Unit_Rates!$C$7:$C$113,0),6)</f>
        <v>Augmentation</v>
      </c>
      <c r="F27" s="23" t="str">
        <f t="shared" si="6"/>
        <v>SubtransmissionAugmentation</v>
      </c>
      <c r="G27" s="170">
        <f>INDEX(Unit_Rates!$C$7:$K$113,MATCH($C27,Unit_Rates!$C$7:$C$113,0),7)</f>
        <v>0</v>
      </c>
      <c r="H27" s="171"/>
      <c r="I27" s="123" t="s">
        <v>294</v>
      </c>
      <c r="J27" s="165"/>
      <c r="K27" s="172">
        <f>G27*H27</f>
        <v>0</v>
      </c>
      <c r="L27" s="173">
        <f t="shared" si="3"/>
        <v>0</v>
      </c>
      <c r="M27" s="174"/>
      <c r="N27" s="182">
        <f>$H27*INDEX(Unit_Rates!$C$7:$K$113,MATCH($C27,Unit_Rates!$C$7:$C$113,0),8)</f>
        <v>0</v>
      </c>
      <c r="O27" s="182">
        <f>$H27*INDEX(Unit_Rates!$C$7:$K$113,MATCH($C27,Unit_Rates!$C$7:$C$113,0),9)</f>
        <v>0</v>
      </c>
      <c r="P27" s="293">
        <f t="shared" si="4"/>
        <v>0</v>
      </c>
      <c r="Q27" s="314">
        <f>P27-H27*VLOOKUP(C27,Unit_Rates!$C$7:$E$113,3,FALSE)</f>
        <v>0</v>
      </c>
      <c r="R27" s="134">
        <v>0</v>
      </c>
      <c r="S27" s="134">
        <v>0</v>
      </c>
      <c r="T27" s="134">
        <v>0</v>
      </c>
      <c r="U27" s="134">
        <v>0</v>
      </c>
      <c r="V27" s="134">
        <v>0</v>
      </c>
      <c r="W27" s="134">
        <v>0</v>
      </c>
      <c r="X27" s="134">
        <v>0</v>
      </c>
      <c r="Y27" s="304">
        <f t="shared" si="5"/>
        <v>0</v>
      </c>
      <c r="AA27" s="5"/>
      <c r="AB27" s="5"/>
      <c r="AC27" s="5"/>
      <c r="AD27" s="5"/>
      <c r="AE27" s="5"/>
      <c r="AF27" s="5"/>
      <c r="AG27" s="5"/>
      <c r="AK27" s="349"/>
      <c r="AL27" s="354"/>
      <c r="AM27" s="349"/>
      <c r="AN27" s="349"/>
      <c r="AO27" s="349"/>
      <c r="AP27" s="349"/>
      <c r="AQ27" s="349"/>
      <c r="AR27" s="349"/>
      <c r="AS27" s="349"/>
      <c r="AT27" s="349"/>
      <c r="AU27" s="349"/>
      <c r="AV27" s="349"/>
    </row>
    <row r="28" spans="2:48" x14ac:dyDescent="0.25">
      <c r="B28" s="84"/>
      <c r="C28" s="23" t="s">
        <v>133</v>
      </c>
      <c r="D28" s="23" t="str">
        <f>INDEX(Unit_Rates!$C$7:$K$113,MATCH($C28,Unit_Rates!$C$7:$C$113,0),5)</f>
        <v>SCADA/Network control</v>
      </c>
      <c r="E28" s="23" t="str">
        <f>INDEX(Unit_Rates!$C$7:$K$113,MATCH($C28,Unit_Rates!$C$7:$C$113,0),6)</f>
        <v>Augmentation</v>
      </c>
      <c r="F28" s="23" t="str">
        <f t="shared" si="6"/>
        <v>SCADA/Network controlAugmentation</v>
      </c>
      <c r="G28" s="170">
        <f>INDEX(Unit_Rates!$C$7:$K$113,MATCH($C28,Unit_Rates!$C$7:$C$113,0),7)</f>
        <v>1158.2999999999995</v>
      </c>
      <c r="H28" s="171"/>
      <c r="I28" s="123" t="s">
        <v>294</v>
      </c>
      <c r="J28" s="165"/>
      <c r="K28" s="172">
        <f>G28*H28</f>
        <v>0</v>
      </c>
      <c r="L28" s="173">
        <f t="shared" si="3"/>
        <v>0</v>
      </c>
      <c r="M28" s="174"/>
      <c r="N28" s="182">
        <f>$H28*INDEX(Unit_Rates!$C$7:$K$113,MATCH($C28,Unit_Rates!$C$7:$C$113,0),8)</f>
        <v>0</v>
      </c>
      <c r="O28" s="182">
        <f>$H28*INDEX(Unit_Rates!$C$7:$K$113,MATCH($C28,Unit_Rates!$C$7:$C$113,0),9)</f>
        <v>0</v>
      </c>
      <c r="P28" s="293">
        <f t="shared" si="4"/>
        <v>0</v>
      </c>
      <c r="Q28" s="314">
        <f>P28-H28*VLOOKUP(C28,Unit_Rates!$C$7:$E$113,3,FALSE)</f>
        <v>0</v>
      </c>
      <c r="R28" s="134">
        <v>0</v>
      </c>
      <c r="S28" s="134">
        <v>0</v>
      </c>
      <c r="T28" s="134">
        <v>0</v>
      </c>
      <c r="U28" s="134">
        <v>0</v>
      </c>
      <c r="V28" s="134">
        <v>0</v>
      </c>
      <c r="W28" s="134">
        <v>0</v>
      </c>
      <c r="X28" s="134">
        <v>0</v>
      </c>
      <c r="Y28" s="304">
        <f t="shared" si="5"/>
        <v>0</v>
      </c>
      <c r="AA28" s="5"/>
      <c r="AB28" s="5"/>
      <c r="AC28" s="5"/>
      <c r="AD28" s="5"/>
      <c r="AE28" s="5"/>
      <c r="AF28" s="5"/>
      <c r="AG28" s="5"/>
      <c r="AK28" s="349"/>
      <c r="AL28" s="349"/>
      <c r="AM28" s="349"/>
      <c r="AN28" s="349"/>
      <c r="AO28" s="349"/>
      <c r="AP28" s="349"/>
      <c r="AQ28" s="349"/>
      <c r="AR28" s="349"/>
      <c r="AS28" s="349"/>
      <c r="AT28" s="349"/>
      <c r="AU28" s="349"/>
      <c r="AV28" s="349"/>
    </row>
    <row r="29" spans="2:48" x14ac:dyDescent="0.25">
      <c r="B29" s="84"/>
      <c r="C29" s="23" t="s">
        <v>135</v>
      </c>
      <c r="D29" s="23" t="str">
        <f>INDEX(Unit_Rates!$C$7:$K$113,MATCH($C29,Unit_Rates!$C$7:$C$113,0),5)</f>
        <v>Subtransmission</v>
      </c>
      <c r="E29" s="23" t="str">
        <f>INDEX(Unit_Rates!$C$7:$K$113,MATCH($C29,Unit_Rates!$C$7:$C$113,0),6)</f>
        <v>Augmentation</v>
      </c>
      <c r="F29" s="23" t="str">
        <f t="shared" si="6"/>
        <v>SubtransmissionAugmentation</v>
      </c>
      <c r="G29" s="170">
        <f>INDEX(Unit_Rates!$C$7:$K$113,MATCH($C29,Unit_Rates!$C$7:$C$113,0),7)</f>
        <v>0</v>
      </c>
      <c r="H29" s="171"/>
      <c r="I29" s="123" t="s">
        <v>294</v>
      </c>
      <c r="J29" s="165"/>
      <c r="K29" s="172">
        <f>G29*H29</f>
        <v>0</v>
      </c>
      <c r="L29" s="173">
        <f t="shared" si="3"/>
        <v>0</v>
      </c>
      <c r="M29" s="174"/>
      <c r="N29" s="182">
        <f>$H29*INDEX(Unit_Rates!$C$7:$K$113,MATCH($C29,Unit_Rates!$C$7:$C$113,0),8)</f>
        <v>0</v>
      </c>
      <c r="O29" s="182">
        <f>$H29*INDEX(Unit_Rates!$C$7:$K$113,MATCH($C29,Unit_Rates!$C$7:$C$113,0),9)</f>
        <v>0</v>
      </c>
      <c r="P29" s="293">
        <f t="shared" si="4"/>
        <v>0</v>
      </c>
      <c r="Q29" s="314">
        <f>P29-H29*VLOOKUP(C29,Unit_Rates!$C$7:$E$113,3,FALSE)</f>
        <v>0</v>
      </c>
      <c r="R29" s="134">
        <v>0</v>
      </c>
      <c r="S29" s="134">
        <v>0</v>
      </c>
      <c r="T29" s="134">
        <v>0</v>
      </c>
      <c r="U29" s="134">
        <v>0</v>
      </c>
      <c r="V29" s="134">
        <v>0</v>
      </c>
      <c r="W29" s="134">
        <v>0</v>
      </c>
      <c r="X29" s="134">
        <v>0</v>
      </c>
      <c r="Y29" s="304">
        <f t="shared" si="5"/>
        <v>0</v>
      </c>
      <c r="AK29" s="349"/>
      <c r="AL29" s="349"/>
      <c r="AM29" s="349"/>
      <c r="AN29" s="349"/>
      <c r="AO29" s="349"/>
      <c r="AP29" s="349"/>
      <c r="AQ29" s="349"/>
      <c r="AR29" s="349"/>
      <c r="AS29" s="349"/>
      <c r="AT29" s="349"/>
      <c r="AU29" s="349"/>
      <c r="AV29" s="349"/>
    </row>
    <row r="30" spans="2:48" x14ac:dyDescent="0.25">
      <c r="B30" s="84"/>
      <c r="C30" s="23" t="s">
        <v>137</v>
      </c>
      <c r="D30" s="23" t="str">
        <f>INDEX(Unit_Rates!$C$7:$K$113,MATCH($C30,Unit_Rates!$C$7:$C$113,0),5)</f>
        <v>Subtransmission</v>
      </c>
      <c r="E30" s="23" t="str">
        <f>INDEX(Unit_Rates!$C$7:$K$113,MATCH($C30,Unit_Rates!$C$7:$C$113,0),6)</f>
        <v>Augmentation</v>
      </c>
      <c r="F30" s="23" t="str">
        <f t="shared" si="6"/>
        <v>SubtransmissionAugmentation</v>
      </c>
      <c r="G30" s="170">
        <f>INDEX(Unit_Rates!$C$7:$K$113,MATCH($C30,Unit_Rates!$C$7:$C$113,0),7)</f>
        <v>1353.9999999999995</v>
      </c>
      <c r="H30" s="171"/>
      <c r="I30" s="123" t="s">
        <v>294</v>
      </c>
      <c r="J30" s="165"/>
      <c r="K30" s="172">
        <f t="shared" ref="K30:K49" si="12">G30*H30</f>
        <v>0</v>
      </c>
      <c r="L30" s="173">
        <f t="shared" si="3"/>
        <v>0</v>
      </c>
      <c r="M30" s="174"/>
      <c r="N30" s="182">
        <f>$H30*INDEX(Unit_Rates!$C$7:$K$113,MATCH($C30,Unit_Rates!$C$7:$C$113,0),8)</f>
        <v>0</v>
      </c>
      <c r="O30" s="182">
        <f>$H30*INDEX(Unit_Rates!$C$7:$K$113,MATCH($C30,Unit_Rates!$C$7:$C$113,0),9)</f>
        <v>0</v>
      </c>
      <c r="P30" s="293">
        <f t="shared" si="4"/>
        <v>0</v>
      </c>
      <c r="Q30" s="314">
        <f>P30-H30*VLOOKUP(C30,Unit_Rates!$C$7:$E$113,3,FALSE)</f>
        <v>0</v>
      </c>
      <c r="R30" s="134">
        <v>0</v>
      </c>
      <c r="S30" s="134">
        <v>0</v>
      </c>
      <c r="T30" s="134">
        <v>0</v>
      </c>
      <c r="U30" s="134">
        <v>0</v>
      </c>
      <c r="V30" s="134">
        <v>0</v>
      </c>
      <c r="W30" s="134">
        <v>0</v>
      </c>
      <c r="X30" s="134">
        <v>0</v>
      </c>
      <c r="Y30" s="304">
        <f t="shared" si="5"/>
        <v>0</v>
      </c>
      <c r="AK30" s="349"/>
      <c r="AL30" s="349"/>
      <c r="AM30" s="349"/>
      <c r="AN30" s="349"/>
      <c r="AO30" s="355"/>
      <c r="AP30" s="355"/>
      <c r="AQ30" s="355"/>
      <c r="AR30" s="355"/>
      <c r="AS30" s="355"/>
      <c r="AT30" s="355"/>
      <c r="AU30" s="349"/>
      <c r="AV30" s="349"/>
    </row>
    <row r="31" spans="2:48" x14ac:dyDescent="0.25">
      <c r="B31" s="84"/>
      <c r="C31" s="23" t="s">
        <v>139</v>
      </c>
      <c r="D31" s="23" t="str">
        <f>INDEX(Unit_Rates!$C$7:$K$113,MATCH($C31,Unit_Rates!$C$7:$C$113,0),5)</f>
        <v>Subtransmission</v>
      </c>
      <c r="E31" s="23" t="str">
        <f>INDEX(Unit_Rates!$C$7:$K$113,MATCH($C31,Unit_Rates!$C$7:$C$113,0),6)</f>
        <v>Augmentation</v>
      </c>
      <c r="F31" s="23" t="str">
        <f t="shared" si="6"/>
        <v>SubtransmissionAugmentation</v>
      </c>
      <c r="G31" s="170">
        <f>INDEX(Unit_Rates!$C$7:$K$113,MATCH($C31,Unit_Rates!$C$7:$C$113,0),7)</f>
        <v>1461.1162790697672</v>
      </c>
      <c r="H31" s="171"/>
      <c r="I31" s="123" t="s">
        <v>294</v>
      </c>
      <c r="J31" s="165"/>
      <c r="K31" s="172">
        <f t="shared" si="12"/>
        <v>0</v>
      </c>
      <c r="L31" s="173">
        <f t="shared" si="3"/>
        <v>0</v>
      </c>
      <c r="M31" s="174"/>
      <c r="N31" s="182">
        <f>$H31*INDEX(Unit_Rates!$C$7:$K$113,MATCH($C31,Unit_Rates!$C$7:$C$113,0),8)</f>
        <v>0</v>
      </c>
      <c r="O31" s="182">
        <f>$H31*INDEX(Unit_Rates!$C$7:$K$113,MATCH($C31,Unit_Rates!$C$7:$C$113,0),9)</f>
        <v>0</v>
      </c>
      <c r="P31" s="293">
        <f t="shared" si="4"/>
        <v>0</v>
      </c>
      <c r="Q31" s="314">
        <f>P31-H31*VLOOKUP(C31,Unit_Rates!$C$7:$E$113,3,FALSE)</f>
        <v>0</v>
      </c>
      <c r="R31" s="134">
        <v>0</v>
      </c>
      <c r="S31" s="134">
        <v>0</v>
      </c>
      <c r="T31" s="134">
        <v>0</v>
      </c>
      <c r="U31" s="134">
        <v>0</v>
      </c>
      <c r="V31" s="134">
        <v>0</v>
      </c>
      <c r="W31" s="134">
        <v>0</v>
      </c>
      <c r="X31" s="134">
        <v>0</v>
      </c>
      <c r="Y31" s="304">
        <f t="shared" si="5"/>
        <v>0</v>
      </c>
      <c r="AK31" s="349"/>
      <c r="AL31" s="349"/>
      <c r="AM31" s="349"/>
      <c r="AN31" s="349"/>
      <c r="AO31" s="355"/>
      <c r="AP31" s="355"/>
      <c r="AQ31" s="355"/>
      <c r="AR31" s="355"/>
      <c r="AS31" s="355"/>
      <c r="AT31" s="355"/>
      <c r="AU31" s="349"/>
      <c r="AV31" s="349"/>
    </row>
    <row r="32" spans="2:48" x14ac:dyDescent="0.25">
      <c r="B32" s="84"/>
      <c r="C32" s="23" t="s">
        <v>141</v>
      </c>
      <c r="D32" s="23" t="str">
        <f>INDEX(Unit_Rates!$C$7:$K$113,MATCH($C32,Unit_Rates!$C$7:$C$113,0),5)</f>
        <v>Subtransmission</v>
      </c>
      <c r="E32" s="23" t="str">
        <f>INDEX(Unit_Rates!$C$7:$K$113,MATCH($C32,Unit_Rates!$C$7:$C$113,0),6)</f>
        <v>Augmentation</v>
      </c>
      <c r="F32" s="23" t="str">
        <f t="shared" si="6"/>
        <v>SubtransmissionAugmentation</v>
      </c>
      <c r="G32" s="170">
        <f>INDEX(Unit_Rates!$C$7:$K$113,MATCH($C32,Unit_Rates!$C$7:$C$113,0),7)</f>
        <v>699.99999999999989</v>
      </c>
      <c r="H32" s="171"/>
      <c r="I32" s="123" t="s">
        <v>294</v>
      </c>
      <c r="J32" s="165"/>
      <c r="K32" s="172">
        <f t="shared" si="12"/>
        <v>0</v>
      </c>
      <c r="L32" s="173">
        <f t="shared" si="3"/>
        <v>0</v>
      </c>
      <c r="M32" s="174"/>
      <c r="N32" s="182">
        <f>$H32*INDEX(Unit_Rates!$C$7:$K$113,MATCH($C32,Unit_Rates!$C$7:$C$113,0),8)</f>
        <v>0</v>
      </c>
      <c r="O32" s="182">
        <f>$H32*INDEX(Unit_Rates!$C$7:$K$113,MATCH($C32,Unit_Rates!$C$7:$C$113,0),9)</f>
        <v>0</v>
      </c>
      <c r="P32" s="293">
        <f t="shared" si="4"/>
        <v>0</v>
      </c>
      <c r="Q32" s="314">
        <f>P32-H32*VLOOKUP(C32,Unit_Rates!$C$7:$E$113,3,FALSE)</f>
        <v>0</v>
      </c>
      <c r="R32" s="134">
        <v>0</v>
      </c>
      <c r="S32" s="134">
        <v>0</v>
      </c>
      <c r="T32" s="134">
        <v>0</v>
      </c>
      <c r="U32" s="134">
        <v>0</v>
      </c>
      <c r="V32" s="134">
        <v>0</v>
      </c>
      <c r="W32" s="134">
        <v>0</v>
      </c>
      <c r="X32" s="134">
        <v>0</v>
      </c>
      <c r="Y32" s="304">
        <f t="shared" si="5"/>
        <v>0</v>
      </c>
      <c r="AK32" s="349"/>
      <c r="AL32" s="349"/>
      <c r="AM32" s="349"/>
      <c r="AN32" s="349"/>
      <c r="AO32" s="355"/>
      <c r="AP32" s="355"/>
      <c r="AQ32" s="355"/>
      <c r="AR32" s="355"/>
      <c r="AS32" s="355"/>
      <c r="AT32" s="355"/>
      <c r="AU32" s="349"/>
      <c r="AV32" s="349"/>
    </row>
    <row r="33" spans="2:48" x14ac:dyDescent="0.25">
      <c r="B33" s="84"/>
      <c r="C33" s="23" t="s">
        <v>147</v>
      </c>
      <c r="D33" s="23" t="str">
        <f>INDEX(Unit_Rates!$C$7:$K$113,MATCH($C33,Unit_Rates!$C$7:$C$113,0),5)</f>
        <v>Subtransmission</v>
      </c>
      <c r="E33" s="23" t="str">
        <f>INDEX(Unit_Rates!$C$7:$K$113,MATCH($C33,Unit_Rates!$C$7:$C$113,0),6)</f>
        <v>Augmentation</v>
      </c>
      <c r="F33" s="23" t="str">
        <f t="shared" si="6"/>
        <v>SubtransmissionAugmentation</v>
      </c>
      <c r="G33" s="170">
        <f>INDEX(Unit_Rates!$C$7:$K$113,MATCH($C33,Unit_Rates!$C$7:$C$113,0),7)</f>
        <v>91.292437209302321</v>
      </c>
      <c r="H33" s="171"/>
      <c r="I33" s="123" t="s">
        <v>294</v>
      </c>
      <c r="J33" s="165"/>
      <c r="K33" s="172">
        <f t="shared" si="12"/>
        <v>0</v>
      </c>
      <c r="L33" s="173">
        <f t="shared" si="3"/>
        <v>0</v>
      </c>
      <c r="M33" s="174"/>
      <c r="N33" s="182">
        <f>$H33*INDEX(Unit_Rates!$C$7:$K$113,MATCH($C33,Unit_Rates!$C$7:$C$113,0),8)</f>
        <v>0</v>
      </c>
      <c r="O33" s="182">
        <f>$H33*INDEX(Unit_Rates!$C$7:$K$113,MATCH($C33,Unit_Rates!$C$7:$C$113,0),9)</f>
        <v>0</v>
      </c>
      <c r="P33" s="293">
        <f t="shared" si="4"/>
        <v>0</v>
      </c>
      <c r="Q33" s="314">
        <f>P33-H33*VLOOKUP(C33,Unit_Rates!$C$7:$E$113,3,FALSE)</f>
        <v>0</v>
      </c>
      <c r="R33" s="134">
        <v>0</v>
      </c>
      <c r="S33" s="134">
        <v>0</v>
      </c>
      <c r="T33" s="134">
        <v>0</v>
      </c>
      <c r="U33" s="134">
        <v>0</v>
      </c>
      <c r="V33" s="134">
        <v>0</v>
      </c>
      <c r="W33" s="134">
        <v>0</v>
      </c>
      <c r="X33" s="134">
        <v>0</v>
      </c>
      <c r="Y33" s="304">
        <f t="shared" si="5"/>
        <v>0</v>
      </c>
      <c r="AK33" s="349"/>
      <c r="AL33" s="349"/>
      <c r="AM33" s="349"/>
      <c r="AN33" s="349"/>
      <c r="AO33" s="355"/>
      <c r="AP33" s="355"/>
      <c r="AQ33" s="355"/>
      <c r="AR33" s="355"/>
      <c r="AS33" s="355"/>
      <c r="AT33" s="355"/>
      <c r="AU33" s="349"/>
      <c r="AV33" s="349"/>
    </row>
    <row r="34" spans="2:48" x14ac:dyDescent="0.25">
      <c r="B34" s="84"/>
      <c r="C34" s="23" t="s">
        <v>149</v>
      </c>
      <c r="D34" s="23" t="str">
        <f>INDEX(Unit_Rates!$C$7:$K$113,MATCH($C34,Unit_Rates!$C$7:$C$113,0),5)</f>
        <v>Subtransmission</v>
      </c>
      <c r="E34" s="23" t="str">
        <f>INDEX(Unit_Rates!$C$7:$K$113,MATCH($C34,Unit_Rates!$C$7:$C$113,0),6)</f>
        <v>Augmentation</v>
      </c>
      <c r="F34" s="23" t="str">
        <f t="shared" si="6"/>
        <v>SubtransmissionAugmentation</v>
      </c>
      <c r="G34" s="170">
        <f>INDEX(Unit_Rates!$C$7:$K$113,MATCH($C34,Unit_Rates!$C$7:$C$113,0),7)</f>
        <v>0</v>
      </c>
      <c r="H34" s="171"/>
      <c r="I34" s="123" t="s">
        <v>294</v>
      </c>
      <c r="J34" s="165"/>
      <c r="K34" s="172">
        <f t="shared" si="12"/>
        <v>0</v>
      </c>
      <c r="L34" s="173">
        <f t="shared" si="3"/>
        <v>0</v>
      </c>
      <c r="M34" s="174"/>
      <c r="N34" s="182">
        <f>$H34*INDEX(Unit_Rates!$C$7:$K$113,MATCH($C34,Unit_Rates!$C$7:$C$113,0),8)</f>
        <v>0</v>
      </c>
      <c r="O34" s="182">
        <f>$H34*INDEX(Unit_Rates!$C$7:$K$113,MATCH($C34,Unit_Rates!$C$7:$C$113,0),9)</f>
        <v>0</v>
      </c>
      <c r="P34" s="293">
        <f t="shared" si="4"/>
        <v>0</v>
      </c>
      <c r="Q34" s="314">
        <f>P34-H34*VLOOKUP(C34,Unit_Rates!$C$7:$E$113,3,FALSE)</f>
        <v>0</v>
      </c>
      <c r="R34" s="134">
        <v>0</v>
      </c>
      <c r="S34" s="134">
        <v>0</v>
      </c>
      <c r="T34" s="134">
        <v>0</v>
      </c>
      <c r="U34" s="134">
        <v>0</v>
      </c>
      <c r="V34" s="134">
        <v>0</v>
      </c>
      <c r="W34" s="134">
        <v>0</v>
      </c>
      <c r="X34" s="134">
        <v>0</v>
      </c>
      <c r="Y34" s="304">
        <f t="shared" si="5"/>
        <v>0</v>
      </c>
      <c r="AK34" s="349"/>
      <c r="AL34" s="349"/>
      <c r="AM34" s="349"/>
      <c r="AN34" s="349"/>
      <c r="AO34" s="355"/>
      <c r="AP34" s="355"/>
      <c r="AQ34" s="355"/>
      <c r="AR34" s="355"/>
      <c r="AS34" s="355"/>
      <c r="AT34" s="355"/>
      <c r="AU34" s="349"/>
      <c r="AV34" s="349"/>
    </row>
    <row r="35" spans="2:48" x14ac:dyDescent="0.25">
      <c r="B35" s="84"/>
      <c r="C35" s="23" t="s">
        <v>150</v>
      </c>
      <c r="D35" s="23" t="str">
        <f>INDEX(Unit_Rates!$C$7:$K$113,MATCH($C35,Unit_Rates!$C$7:$C$113,0),5)</f>
        <v>Subtransmission</v>
      </c>
      <c r="E35" s="23" t="str">
        <f>INDEX(Unit_Rates!$C$7:$K$113,MATCH($C35,Unit_Rates!$C$7:$C$113,0),6)</f>
        <v>Augmentation</v>
      </c>
      <c r="F35" s="23" t="str">
        <f t="shared" si="6"/>
        <v>SubtransmissionAugmentation</v>
      </c>
      <c r="G35" s="170">
        <f>INDEX(Unit_Rates!$C$7:$K$113,MATCH($C35,Unit_Rates!$C$7:$C$113,0),7)</f>
        <v>107.00599999999997</v>
      </c>
      <c r="H35" s="171"/>
      <c r="I35" s="123" t="s">
        <v>294</v>
      </c>
      <c r="J35" s="165"/>
      <c r="K35" s="172">
        <f t="shared" si="12"/>
        <v>0</v>
      </c>
      <c r="L35" s="173">
        <f t="shared" si="3"/>
        <v>0</v>
      </c>
      <c r="M35" s="174"/>
      <c r="N35" s="182">
        <f>$H35*INDEX(Unit_Rates!$C$7:$K$113,MATCH($C35,Unit_Rates!$C$7:$C$113,0),8)</f>
        <v>0</v>
      </c>
      <c r="O35" s="182">
        <f>$H35*INDEX(Unit_Rates!$C$7:$K$113,MATCH($C35,Unit_Rates!$C$7:$C$113,0),9)</f>
        <v>0</v>
      </c>
      <c r="P35" s="293">
        <f t="shared" si="4"/>
        <v>0</v>
      </c>
      <c r="Q35" s="314">
        <f>P35-H35*VLOOKUP(C35,Unit_Rates!$C$7:$E$113,3,FALSE)</f>
        <v>0</v>
      </c>
      <c r="R35" s="134">
        <v>0</v>
      </c>
      <c r="S35" s="134">
        <v>0</v>
      </c>
      <c r="T35" s="134">
        <v>0</v>
      </c>
      <c r="U35" s="134">
        <v>0</v>
      </c>
      <c r="V35" s="134">
        <v>0</v>
      </c>
      <c r="W35" s="134">
        <v>0</v>
      </c>
      <c r="X35" s="134">
        <v>0</v>
      </c>
      <c r="Y35" s="304">
        <f t="shared" si="5"/>
        <v>0</v>
      </c>
      <c r="AK35" s="349"/>
      <c r="AL35" s="349"/>
      <c r="AM35" s="349"/>
      <c r="AN35" s="349"/>
      <c r="AO35" s="355"/>
      <c r="AP35" s="355"/>
      <c r="AQ35" s="355"/>
      <c r="AR35" s="355"/>
      <c r="AS35" s="355"/>
      <c r="AT35" s="355"/>
      <c r="AU35" s="349"/>
      <c r="AV35" s="349"/>
    </row>
    <row r="36" spans="2:48" x14ac:dyDescent="0.25">
      <c r="B36" s="84"/>
      <c r="C36" s="23" t="s">
        <v>152</v>
      </c>
      <c r="D36" s="23" t="str">
        <f>INDEX(Unit_Rates!$C$7:$K$113,MATCH($C36,Unit_Rates!$C$7:$C$113,0),5)</f>
        <v>Subtransmission</v>
      </c>
      <c r="E36" s="23" t="str">
        <f>INDEX(Unit_Rates!$C$7:$K$113,MATCH($C36,Unit_Rates!$C$7:$C$113,0),6)</f>
        <v>Augmentation</v>
      </c>
      <c r="F36" s="23" t="str">
        <f t="shared" si="6"/>
        <v>SubtransmissionAugmentation</v>
      </c>
      <c r="G36" s="170">
        <f>INDEX(Unit_Rates!$C$7:$K$113,MATCH($C36,Unit_Rates!$C$7:$C$113,0),7)</f>
        <v>7.6639999999999979</v>
      </c>
      <c r="H36" s="171"/>
      <c r="I36" s="123" t="s">
        <v>294</v>
      </c>
      <c r="J36" s="165"/>
      <c r="K36" s="172">
        <f t="shared" si="12"/>
        <v>0</v>
      </c>
      <c r="L36" s="173">
        <f t="shared" si="3"/>
        <v>0</v>
      </c>
      <c r="M36" s="174"/>
      <c r="N36" s="182">
        <f>$H36*INDEX(Unit_Rates!$C$7:$K$113,MATCH($C36,Unit_Rates!$C$7:$C$113,0),8)</f>
        <v>0</v>
      </c>
      <c r="O36" s="182">
        <f>$H36*INDEX(Unit_Rates!$C$7:$K$113,MATCH($C36,Unit_Rates!$C$7:$C$113,0),9)</f>
        <v>0</v>
      </c>
      <c r="P36" s="293">
        <f t="shared" si="4"/>
        <v>0</v>
      </c>
      <c r="Q36" s="314">
        <f>P36-H36*VLOOKUP(C36,Unit_Rates!$C$7:$E$113,3,FALSE)</f>
        <v>0</v>
      </c>
      <c r="R36" s="134">
        <v>0</v>
      </c>
      <c r="S36" s="134">
        <v>0</v>
      </c>
      <c r="T36" s="134">
        <v>0</v>
      </c>
      <c r="U36" s="134">
        <v>0</v>
      </c>
      <c r="V36" s="134">
        <v>0</v>
      </c>
      <c r="W36" s="134">
        <v>0</v>
      </c>
      <c r="X36" s="134">
        <v>0</v>
      </c>
      <c r="Y36" s="304">
        <f t="shared" si="5"/>
        <v>0</v>
      </c>
      <c r="AK36" s="349"/>
      <c r="AL36" s="349"/>
      <c r="AM36" s="354"/>
      <c r="AN36" s="349"/>
      <c r="AO36" s="355"/>
      <c r="AP36" s="355"/>
      <c r="AQ36" s="355"/>
      <c r="AR36" s="355"/>
      <c r="AS36" s="355"/>
      <c r="AT36" s="355"/>
      <c r="AU36" s="349"/>
      <c r="AV36" s="349"/>
    </row>
    <row r="37" spans="2:48" x14ac:dyDescent="0.25">
      <c r="B37" s="84"/>
      <c r="C37" s="23" t="s">
        <v>156</v>
      </c>
      <c r="D37" s="23" t="str">
        <f>INDEX(Unit_Rates!$C$7:$K$113,MATCH($C37,Unit_Rates!$C$7:$C$113,0),5)</f>
        <v>Subtransmission</v>
      </c>
      <c r="E37" s="23" t="str">
        <f>INDEX(Unit_Rates!$C$7:$K$113,MATCH($C37,Unit_Rates!$C$7:$C$113,0),6)</f>
        <v>Augmentation</v>
      </c>
      <c r="F37" s="23" t="str">
        <f t="shared" si="6"/>
        <v>SubtransmissionAugmentation</v>
      </c>
      <c r="G37" s="170">
        <f>INDEX(Unit_Rates!$C$7:$K$113,MATCH($C37,Unit_Rates!$C$7:$C$113,0),7)</f>
        <v>27.162999999999993</v>
      </c>
      <c r="H37" s="171"/>
      <c r="I37" s="123" t="s">
        <v>294</v>
      </c>
      <c r="J37" s="165"/>
      <c r="K37" s="172">
        <f t="shared" si="12"/>
        <v>0</v>
      </c>
      <c r="L37" s="173">
        <f t="shared" si="3"/>
        <v>0</v>
      </c>
      <c r="M37" s="174"/>
      <c r="N37" s="182">
        <f>$H37*INDEX(Unit_Rates!$C$7:$K$113,MATCH($C37,Unit_Rates!$C$7:$C$113,0),8)</f>
        <v>0</v>
      </c>
      <c r="O37" s="182">
        <f>$H37*INDEX(Unit_Rates!$C$7:$K$113,MATCH($C37,Unit_Rates!$C$7:$C$113,0),9)</f>
        <v>0</v>
      </c>
      <c r="P37" s="293">
        <f t="shared" si="4"/>
        <v>0</v>
      </c>
      <c r="Q37" s="314">
        <f>P37-H37*VLOOKUP(C37,Unit_Rates!$C$7:$E$113,3,FALSE)</f>
        <v>0</v>
      </c>
      <c r="R37" s="134">
        <v>0</v>
      </c>
      <c r="S37" s="134">
        <v>0</v>
      </c>
      <c r="T37" s="134">
        <v>0</v>
      </c>
      <c r="U37" s="134">
        <v>0</v>
      </c>
      <c r="V37" s="134">
        <v>0</v>
      </c>
      <c r="W37" s="134">
        <v>0</v>
      </c>
      <c r="X37" s="134">
        <v>0</v>
      </c>
      <c r="Y37" s="304">
        <f t="shared" si="5"/>
        <v>0</v>
      </c>
      <c r="AK37" s="349"/>
      <c r="AL37" s="349"/>
      <c r="AM37" s="349"/>
      <c r="AN37" s="349"/>
      <c r="AO37" s="355"/>
      <c r="AP37" s="355"/>
      <c r="AQ37" s="355"/>
      <c r="AR37" s="355"/>
      <c r="AS37" s="355"/>
      <c r="AT37" s="355"/>
      <c r="AU37" s="349"/>
      <c r="AV37" s="349"/>
    </row>
    <row r="38" spans="2:48" x14ac:dyDescent="0.25">
      <c r="B38" s="84"/>
      <c r="C38" s="23" t="s">
        <v>157</v>
      </c>
      <c r="D38" s="23" t="str">
        <f>INDEX(Unit_Rates!$C$7:$K$113,MATCH($C38,Unit_Rates!$C$7:$C$113,0),5)</f>
        <v>Subtransmission</v>
      </c>
      <c r="E38" s="23" t="str">
        <f>INDEX(Unit_Rates!$C$7:$K$113,MATCH($C38,Unit_Rates!$C$7:$C$113,0),6)</f>
        <v>Augmentation</v>
      </c>
      <c r="F38" s="23" t="str">
        <f t="shared" si="6"/>
        <v>SubtransmissionAugmentation</v>
      </c>
      <c r="G38" s="170">
        <f>INDEX(Unit_Rates!$C$7:$K$113,MATCH($C38,Unit_Rates!$C$7:$C$113,0),7)</f>
        <v>0</v>
      </c>
      <c r="H38" s="171"/>
      <c r="I38" s="123" t="s">
        <v>294</v>
      </c>
      <c r="J38" s="165"/>
      <c r="K38" s="172">
        <f t="shared" si="12"/>
        <v>0</v>
      </c>
      <c r="L38" s="173">
        <f t="shared" si="3"/>
        <v>0</v>
      </c>
      <c r="M38" s="174"/>
      <c r="N38" s="182">
        <f>$H38*INDEX(Unit_Rates!$C$7:$K$113,MATCH($C38,Unit_Rates!$C$7:$C$113,0),8)</f>
        <v>0</v>
      </c>
      <c r="O38" s="182">
        <f>$H38*INDEX(Unit_Rates!$C$7:$K$113,MATCH($C38,Unit_Rates!$C$7:$C$113,0),9)</f>
        <v>0</v>
      </c>
      <c r="P38" s="293">
        <f t="shared" si="4"/>
        <v>0</v>
      </c>
      <c r="Q38" s="314">
        <f>P38-H38*VLOOKUP(C38,Unit_Rates!$C$7:$E$113,3,FALSE)</f>
        <v>0</v>
      </c>
      <c r="R38" s="134">
        <v>0</v>
      </c>
      <c r="S38" s="134">
        <v>0</v>
      </c>
      <c r="T38" s="134">
        <v>0</v>
      </c>
      <c r="U38" s="134">
        <v>0</v>
      </c>
      <c r="V38" s="134">
        <v>0</v>
      </c>
      <c r="W38" s="134">
        <v>0</v>
      </c>
      <c r="X38" s="134">
        <v>0</v>
      </c>
      <c r="Y38" s="304">
        <f t="shared" si="5"/>
        <v>0</v>
      </c>
      <c r="AK38" s="349"/>
      <c r="AL38" s="349"/>
      <c r="AM38" s="349"/>
      <c r="AN38" s="349"/>
      <c r="AO38" s="355"/>
      <c r="AP38" s="355"/>
      <c r="AQ38" s="355"/>
      <c r="AR38" s="355"/>
      <c r="AS38" s="355"/>
      <c r="AT38" s="355"/>
      <c r="AU38" s="349"/>
      <c r="AV38" s="349"/>
    </row>
    <row r="39" spans="2:48" x14ac:dyDescent="0.25">
      <c r="B39" s="84"/>
      <c r="C39" s="23" t="s">
        <v>155</v>
      </c>
      <c r="D39" s="23" t="str">
        <f>INDEX(Unit_Rates!$C$7:$K$113,MATCH($C39,Unit_Rates!$C$7:$C$113,0),5)</f>
        <v>Subtransmission</v>
      </c>
      <c r="E39" s="23" t="str">
        <f>INDEX(Unit_Rates!$C$7:$K$113,MATCH($C39,Unit_Rates!$C$7:$C$113,0),6)</f>
        <v>Augmentation</v>
      </c>
      <c r="F39" s="23" t="str">
        <f t="shared" si="6"/>
        <v>SubtransmissionAugmentation</v>
      </c>
      <c r="G39" s="170">
        <f>INDEX(Unit_Rates!$C$7:$K$113,MATCH($C39,Unit_Rates!$C$7:$C$113,0),7)</f>
        <v>0</v>
      </c>
      <c r="H39" s="171"/>
      <c r="I39" s="123" t="s">
        <v>294</v>
      </c>
      <c r="J39" s="165"/>
      <c r="K39" s="172">
        <f t="shared" si="12"/>
        <v>0</v>
      </c>
      <c r="L39" s="173">
        <f t="shared" si="3"/>
        <v>0</v>
      </c>
      <c r="M39" s="174"/>
      <c r="N39" s="182">
        <f>$H39*INDEX(Unit_Rates!$C$7:$K$113,MATCH($C39,Unit_Rates!$C$7:$C$113,0),8)</f>
        <v>0</v>
      </c>
      <c r="O39" s="182">
        <f>$H39*INDEX(Unit_Rates!$C$7:$K$113,MATCH($C39,Unit_Rates!$C$7:$C$113,0),9)</f>
        <v>0</v>
      </c>
      <c r="P39" s="293">
        <f t="shared" si="4"/>
        <v>0</v>
      </c>
      <c r="Q39" s="314">
        <f>P39-H39*VLOOKUP(C39,Unit_Rates!$C$7:$E$113,3,FALSE)</f>
        <v>0</v>
      </c>
      <c r="R39" s="134">
        <v>0</v>
      </c>
      <c r="S39" s="134">
        <v>0</v>
      </c>
      <c r="T39" s="134">
        <v>0</v>
      </c>
      <c r="U39" s="134">
        <v>0</v>
      </c>
      <c r="V39" s="134">
        <v>0</v>
      </c>
      <c r="W39" s="134">
        <v>0</v>
      </c>
      <c r="X39" s="134">
        <v>0</v>
      </c>
      <c r="Y39" s="304">
        <f t="shared" si="5"/>
        <v>0</v>
      </c>
      <c r="AK39" s="349"/>
      <c r="AL39" s="349"/>
      <c r="AM39" s="354"/>
      <c r="AN39" s="349"/>
      <c r="AO39" s="355"/>
      <c r="AP39" s="355"/>
      <c r="AQ39" s="355"/>
      <c r="AR39" s="355"/>
      <c r="AS39" s="355"/>
      <c r="AT39" s="355"/>
      <c r="AU39" s="349"/>
      <c r="AV39" s="349"/>
    </row>
    <row r="40" spans="2:48" x14ac:dyDescent="0.25">
      <c r="B40" s="84"/>
      <c r="C40" s="23" t="s">
        <v>159</v>
      </c>
      <c r="D40" s="23" t="str">
        <f>INDEX(Unit_Rates!$C$7:$K$113,MATCH($C40,Unit_Rates!$C$7:$C$113,0),5)</f>
        <v>Subtransmission</v>
      </c>
      <c r="E40" s="23" t="str">
        <f>INDEX(Unit_Rates!$C$7:$K$113,MATCH($C40,Unit_Rates!$C$7:$C$113,0),6)</f>
        <v>Augmentation</v>
      </c>
      <c r="F40" s="23" t="str">
        <f t="shared" si="6"/>
        <v>SubtransmissionAugmentation</v>
      </c>
      <c r="G40" s="170">
        <f>INDEX(Unit_Rates!$C$7:$K$113,MATCH($C40,Unit_Rates!$C$7:$C$113,0),7)</f>
        <v>0.61999999999999977</v>
      </c>
      <c r="H40" s="171"/>
      <c r="I40" s="123" t="s">
        <v>294</v>
      </c>
      <c r="J40" s="165"/>
      <c r="K40" s="172">
        <f t="shared" si="12"/>
        <v>0</v>
      </c>
      <c r="L40" s="173">
        <f t="shared" si="3"/>
        <v>0</v>
      </c>
      <c r="M40" s="174"/>
      <c r="N40" s="182">
        <f>$H40*INDEX(Unit_Rates!$C$7:$K$113,MATCH($C40,Unit_Rates!$C$7:$C$113,0),8)</f>
        <v>0</v>
      </c>
      <c r="O40" s="182">
        <f>$H40*INDEX(Unit_Rates!$C$7:$K$113,MATCH($C40,Unit_Rates!$C$7:$C$113,0),9)</f>
        <v>0</v>
      </c>
      <c r="P40" s="293">
        <f t="shared" si="4"/>
        <v>0</v>
      </c>
      <c r="Q40" s="314">
        <f>P40-H40*VLOOKUP(C40,Unit_Rates!$C$7:$E$113,3,FALSE)</f>
        <v>0</v>
      </c>
      <c r="R40" s="134">
        <v>0</v>
      </c>
      <c r="S40" s="134">
        <v>0</v>
      </c>
      <c r="T40" s="134">
        <v>0</v>
      </c>
      <c r="U40" s="134">
        <v>0</v>
      </c>
      <c r="V40" s="134">
        <v>0</v>
      </c>
      <c r="W40" s="134">
        <v>0</v>
      </c>
      <c r="X40" s="134">
        <v>0</v>
      </c>
      <c r="Y40" s="304">
        <f t="shared" si="5"/>
        <v>0</v>
      </c>
      <c r="AK40" s="349"/>
      <c r="AL40" s="349"/>
      <c r="AM40" s="349"/>
      <c r="AN40" s="349"/>
      <c r="AO40" s="355"/>
      <c r="AP40" s="355"/>
      <c r="AQ40" s="355"/>
      <c r="AR40" s="355"/>
      <c r="AS40" s="355"/>
      <c r="AT40" s="355"/>
      <c r="AU40" s="349"/>
      <c r="AV40" s="349"/>
    </row>
    <row r="41" spans="2:48" x14ac:dyDescent="0.25">
      <c r="B41" s="84"/>
      <c r="C41" s="23" t="s">
        <v>179</v>
      </c>
      <c r="D41" s="23" t="str">
        <f>INDEX(Unit_Rates!$C$7:$K$113,MATCH($C41,Unit_Rates!$C$7:$C$113,0),5)</f>
        <v>Subtransmission</v>
      </c>
      <c r="E41" s="23" t="str">
        <f>INDEX(Unit_Rates!$C$7:$K$113,MATCH($C41,Unit_Rates!$C$7:$C$113,0),6)</f>
        <v>Augmentation</v>
      </c>
      <c r="F41" s="23" t="str">
        <f t="shared" si="6"/>
        <v>SubtransmissionAugmentation</v>
      </c>
      <c r="G41" s="170">
        <f>INDEX(Unit_Rates!$C$7:$K$113,MATCH($C41,Unit_Rates!$C$7:$C$113,0),7)</f>
        <v>0</v>
      </c>
      <c r="H41" s="171"/>
      <c r="I41" s="123" t="s">
        <v>294</v>
      </c>
      <c r="J41" s="165"/>
      <c r="K41" s="172">
        <f t="shared" si="12"/>
        <v>0</v>
      </c>
      <c r="L41" s="173">
        <f t="shared" si="3"/>
        <v>0</v>
      </c>
      <c r="M41" s="174"/>
      <c r="N41" s="182">
        <f>$H41*INDEX(Unit_Rates!$C$7:$K$113,MATCH($C41,Unit_Rates!$C$7:$C$113,0),8)</f>
        <v>0</v>
      </c>
      <c r="O41" s="182">
        <f>$H41*INDEX(Unit_Rates!$C$7:$K$113,MATCH($C41,Unit_Rates!$C$7:$C$113,0),9)</f>
        <v>0</v>
      </c>
      <c r="P41" s="293">
        <f t="shared" si="4"/>
        <v>0</v>
      </c>
      <c r="Q41" s="314">
        <f>P41-H41*VLOOKUP(C41,Unit_Rates!$C$7:$E$113,3,FALSE)</f>
        <v>0</v>
      </c>
      <c r="R41" s="134">
        <v>0</v>
      </c>
      <c r="S41" s="134">
        <v>0</v>
      </c>
      <c r="T41" s="134">
        <v>0</v>
      </c>
      <c r="U41" s="134">
        <v>0</v>
      </c>
      <c r="V41" s="134">
        <v>0</v>
      </c>
      <c r="W41" s="134">
        <v>0</v>
      </c>
      <c r="X41" s="134">
        <v>0</v>
      </c>
      <c r="Y41" s="304">
        <f t="shared" si="5"/>
        <v>0</v>
      </c>
      <c r="AK41" s="349"/>
      <c r="AL41" s="349"/>
      <c r="AM41" s="349"/>
      <c r="AN41" s="349"/>
      <c r="AO41" s="355"/>
      <c r="AP41" s="355"/>
      <c r="AQ41" s="355"/>
      <c r="AR41" s="355"/>
      <c r="AS41" s="355"/>
      <c r="AT41" s="355"/>
      <c r="AU41" s="349"/>
      <c r="AV41" s="349"/>
    </row>
    <row r="42" spans="2:48" x14ac:dyDescent="0.25">
      <c r="B42" s="84"/>
      <c r="C42" s="23" t="s">
        <v>161</v>
      </c>
      <c r="D42" s="23" t="str">
        <f>INDEX(Unit_Rates!$C$7:$K$113,MATCH($C42,Unit_Rates!$C$7:$C$113,0),5)</f>
        <v>Subtransmission</v>
      </c>
      <c r="E42" s="23" t="str">
        <f>INDEX(Unit_Rates!$C$7:$K$113,MATCH($C42,Unit_Rates!$C$7:$C$113,0),6)</f>
        <v>Augmentation</v>
      </c>
      <c r="F42" s="23" t="str">
        <f t="shared" si="6"/>
        <v>SubtransmissionAugmentation</v>
      </c>
      <c r="G42" s="170">
        <f>INDEX(Unit_Rates!$C$7:$K$113,MATCH($C42,Unit_Rates!$C$7:$C$113,0),7)</f>
        <v>93.853999999999985</v>
      </c>
      <c r="H42" s="171"/>
      <c r="I42" s="123" t="s">
        <v>294</v>
      </c>
      <c r="J42" s="165"/>
      <c r="K42" s="172">
        <f t="shared" si="12"/>
        <v>0</v>
      </c>
      <c r="L42" s="173">
        <f t="shared" si="3"/>
        <v>0</v>
      </c>
      <c r="M42" s="174"/>
      <c r="N42" s="182">
        <f>$H42*INDEX(Unit_Rates!$C$7:$K$113,MATCH($C42,Unit_Rates!$C$7:$C$113,0),8)</f>
        <v>0</v>
      </c>
      <c r="O42" s="182">
        <f>$H42*INDEX(Unit_Rates!$C$7:$K$113,MATCH($C42,Unit_Rates!$C$7:$C$113,0),9)</f>
        <v>0</v>
      </c>
      <c r="P42" s="293">
        <f t="shared" si="4"/>
        <v>0</v>
      </c>
      <c r="Q42" s="314">
        <f>P42-H42*VLOOKUP(C42,Unit_Rates!$C$7:$E$113,3,FALSE)</f>
        <v>0</v>
      </c>
      <c r="R42" s="134">
        <v>0</v>
      </c>
      <c r="S42" s="134">
        <v>0</v>
      </c>
      <c r="T42" s="134">
        <v>0</v>
      </c>
      <c r="U42" s="134">
        <v>0</v>
      </c>
      <c r="V42" s="134">
        <v>0</v>
      </c>
      <c r="W42" s="134">
        <v>0</v>
      </c>
      <c r="X42" s="134">
        <v>0</v>
      </c>
      <c r="Y42" s="304">
        <f t="shared" si="5"/>
        <v>0</v>
      </c>
      <c r="AK42" s="349"/>
      <c r="AL42" s="349"/>
      <c r="AM42" s="349"/>
      <c r="AN42" s="349"/>
      <c r="AO42" s="355"/>
      <c r="AP42" s="355"/>
      <c r="AQ42" s="355"/>
      <c r="AR42" s="355"/>
      <c r="AS42" s="355"/>
      <c r="AT42" s="355"/>
      <c r="AU42" s="349"/>
      <c r="AV42" s="349"/>
    </row>
    <row r="43" spans="2:48" x14ac:dyDescent="0.25">
      <c r="B43" s="84"/>
      <c r="C43" s="23" t="s">
        <v>163</v>
      </c>
      <c r="D43" s="23" t="str">
        <f>INDEX(Unit_Rates!$C$7:$K$113,MATCH($C43,Unit_Rates!$C$7:$C$113,0),5)</f>
        <v>Subtransmission</v>
      </c>
      <c r="E43" s="23" t="str">
        <f>INDEX(Unit_Rates!$C$7:$K$113,MATCH($C43,Unit_Rates!$C$7:$C$113,0),6)</f>
        <v>Augmentation</v>
      </c>
      <c r="F43" s="23" t="str">
        <f t="shared" si="6"/>
        <v>SubtransmissionAugmentation</v>
      </c>
      <c r="G43" s="170">
        <f>INDEX(Unit_Rates!$C$7:$K$113,MATCH($C43,Unit_Rates!$C$7:$C$113,0),7)</f>
        <v>0</v>
      </c>
      <c r="H43" s="171"/>
      <c r="I43" s="123" t="s">
        <v>294</v>
      </c>
      <c r="J43" s="165"/>
      <c r="K43" s="172">
        <f t="shared" si="12"/>
        <v>0</v>
      </c>
      <c r="L43" s="173">
        <f t="shared" si="3"/>
        <v>0</v>
      </c>
      <c r="M43" s="174"/>
      <c r="N43" s="182">
        <f>$H43*INDEX(Unit_Rates!$C$7:$K$113,MATCH($C43,Unit_Rates!$C$7:$C$113,0),8)</f>
        <v>0</v>
      </c>
      <c r="O43" s="182">
        <f>$H43*INDEX(Unit_Rates!$C$7:$K$113,MATCH($C43,Unit_Rates!$C$7:$C$113,0),9)</f>
        <v>0</v>
      </c>
      <c r="P43" s="293">
        <f t="shared" si="4"/>
        <v>0</v>
      </c>
      <c r="Q43" s="314">
        <f>P43-H43*VLOOKUP(C43,Unit_Rates!$C$7:$E$113,3,FALSE)</f>
        <v>0</v>
      </c>
      <c r="R43" s="134">
        <v>0</v>
      </c>
      <c r="S43" s="134">
        <v>0</v>
      </c>
      <c r="T43" s="134">
        <v>0</v>
      </c>
      <c r="U43" s="134">
        <v>0</v>
      </c>
      <c r="V43" s="134">
        <v>0</v>
      </c>
      <c r="W43" s="134">
        <v>0</v>
      </c>
      <c r="X43" s="134">
        <v>0</v>
      </c>
      <c r="Y43" s="304">
        <f t="shared" si="5"/>
        <v>0</v>
      </c>
      <c r="AK43" s="349"/>
      <c r="AL43" s="349"/>
      <c r="AM43" s="354"/>
      <c r="AN43" s="349"/>
      <c r="AO43" s="355"/>
      <c r="AP43" s="355"/>
      <c r="AQ43" s="355"/>
      <c r="AR43" s="355"/>
      <c r="AS43" s="355"/>
      <c r="AT43" s="355"/>
      <c r="AU43" s="349"/>
      <c r="AV43" s="349"/>
    </row>
    <row r="44" spans="2:48" x14ac:dyDescent="0.25">
      <c r="B44" s="84"/>
      <c r="C44" s="23" t="s">
        <v>167</v>
      </c>
      <c r="D44" s="23" t="str">
        <f>INDEX(Unit_Rates!$C$7:$K$113,MATCH($C44,Unit_Rates!$C$7:$C$113,0),5)</f>
        <v>Subtransmission</v>
      </c>
      <c r="E44" s="23" t="str">
        <f>INDEX(Unit_Rates!$C$7:$K$113,MATCH($C44,Unit_Rates!$C$7:$C$113,0),6)</f>
        <v>Augmentation</v>
      </c>
      <c r="F44" s="23" t="str">
        <f t="shared" si="6"/>
        <v>SubtransmissionAugmentation</v>
      </c>
      <c r="G44" s="170">
        <f>INDEX(Unit_Rates!$C$7:$K$113,MATCH($C44,Unit_Rates!$C$7:$C$113,0),7)</f>
        <v>227.62999999999997</v>
      </c>
      <c r="H44" s="171"/>
      <c r="I44" s="123" t="s">
        <v>294</v>
      </c>
      <c r="J44" s="165"/>
      <c r="K44" s="172">
        <f t="shared" si="12"/>
        <v>0</v>
      </c>
      <c r="L44" s="173">
        <f t="shared" si="3"/>
        <v>0</v>
      </c>
      <c r="M44" s="174"/>
      <c r="N44" s="182">
        <f>$H44*INDEX(Unit_Rates!$C$7:$K$113,MATCH($C44,Unit_Rates!$C$7:$C$113,0),8)</f>
        <v>0</v>
      </c>
      <c r="O44" s="182">
        <f>$H44*INDEX(Unit_Rates!$C$7:$K$113,MATCH($C44,Unit_Rates!$C$7:$C$113,0),9)</f>
        <v>0</v>
      </c>
      <c r="P44" s="293">
        <f t="shared" si="4"/>
        <v>0</v>
      </c>
      <c r="Q44" s="314">
        <f>P44-H44*VLOOKUP(C44,Unit_Rates!$C$7:$E$113,3,FALSE)</f>
        <v>0</v>
      </c>
      <c r="R44" s="134">
        <v>0</v>
      </c>
      <c r="S44" s="134">
        <v>0</v>
      </c>
      <c r="T44" s="134">
        <v>0</v>
      </c>
      <c r="U44" s="134">
        <v>0</v>
      </c>
      <c r="V44" s="134">
        <v>0</v>
      </c>
      <c r="W44" s="134">
        <v>0</v>
      </c>
      <c r="X44" s="134">
        <v>0</v>
      </c>
      <c r="Y44" s="304">
        <f t="shared" si="5"/>
        <v>0</v>
      </c>
      <c r="AK44" s="349"/>
      <c r="AL44" s="349"/>
      <c r="AM44" s="349"/>
      <c r="AN44" s="349"/>
      <c r="AO44" s="349"/>
      <c r="AP44" s="349"/>
      <c r="AQ44" s="349"/>
      <c r="AR44" s="349"/>
      <c r="AS44" s="349"/>
      <c r="AT44" s="349"/>
      <c r="AU44" s="349"/>
      <c r="AV44" s="349"/>
    </row>
    <row r="45" spans="2:48" x14ac:dyDescent="0.25">
      <c r="B45" s="84"/>
      <c r="C45" s="23" t="s">
        <v>171</v>
      </c>
      <c r="D45" s="23" t="str">
        <f>INDEX(Unit_Rates!$C$7:$K$113,MATCH($C45,Unit_Rates!$C$7:$C$113,0),5)</f>
        <v>Subtransmission</v>
      </c>
      <c r="E45" s="23" t="str">
        <f>INDEX(Unit_Rates!$C$7:$K$113,MATCH($C45,Unit_Rates!$C$7:$C$113,0),6)</f>
        <v>Augmentation</v>
      </c>
      <c r="F45" s="23" t="str">
        <f t="shared" si="6"/>
        <v>SubtransmissionAugmentation</v>
      </c>
      <c r="G45" s="170">
        <f>INDEX(Unit_Rates!$C$7:$K$113,MATCH($C45,Unit_Rates!$C$7:$C$113,0),7)</f>
        <v>369.03899999999987</v>
      </c>
      <c r="H45" s="171"/>
      <c r="I45" s="123" t="s">
        <v>294</v>
      </c>
      <c r="J45" s="165"/>
      <c r="K45" s="172">
        <f t="shared" si="12"/>
        <v>0</v>
      </c>
      <c r="L45" s="173">
        <f t="shared" si="3"/>
        <v>0</v>
      </c>
      <c r="M45" s="174"/>
      <c r="N45" s="182">
        <f>$H45*INDEX(Unit_Rates!$C$7:$K$113,MATCH($C45,Unit_Rates!$C$7:$C$113,0),8)</f>
        <v>0</v>
      </c>
      <c r="O45" s="182">
        <f>$H45*INDEX(Unit_Rates!$C$7:$K$113,MATCH($C45,Unit_Rates!$C$7:$C$113,0),9)</f>
        <v>0</v>
      </c>
      <c r="P45" s="293">
        <f t="shared" si="4"/>
        <v>0</v>
      </c>
      <c r="Q45" s="314">
        <f>P45-H45*VLOOKUP(C45,Unit_Rates!$C$7:$E$113,3,FALSE)</f>
        <v>0</v>
      </c>
      <c r="R45" s="134">
        <v>0</v>
      </c>
      <c r="S45" s="134">
        <v>0</v>
      </c>
      <c r="T45" s="134">
        <v>0</v>
      </c>
      <c r="U45" s="134">
        <v>0</v>
      </c>
      <c r="V45" s="134">
        <v>0</v>
      </c>
      <c r="W45" s="134">
        <v>0</v>
      </c>
      <c r="X45" s="134">
        <v>0</v>
      </c>
      <c r="Y45" s="304">
        <f t="shared" si="5"/>
        <v>0</v>
      </c>
      <c r="AK45" s="349"/>
      <c r="AL45" s="354"/>
      <c r="AM45" s="349"/>
      <c r="AN45" s="349"/>
      <c r="AO45" s="349"/>
      <c r="AP45" s="349"/>
      <c r="AQ45" s="349"/>
      <c r="AR45" s="349"/>
      <c r="AS45" s="349"/>
      <c r="AT45" s="349"/>
      <c r="AU45" s="349"/>
      <c r="AV45" s="349"/>
    </row>
    <row r="46" spans="2:48" x14ac:dyDescent="0.25">
      <c r="B46" s="84"/>
      <c r="C46" s="23" t="s">
        <v>173</v>
      </c>
      <c r="D46" s="23" t="str">
        <f>INDEX(Unit_Rates!$C$7:$K$113,MATCH($C46,Unit_Rates!$C$7:$C$113,0),5)</f>
        <v>Subtransmission</v>
      </c>
      <c r="E46" s="23" t="str">
        <f>INDEX(Unit_Rates!$C$7:$K$113,MATCH($C46,Unit_Rates!$C$7:$C$113,0),6)</f>
        <v>Augmentation</v>
      </c>
      <c r="F46" s="23" t="str">
        <f t="shared" si="6"/>
        <v>SubtransmissionAugmentation</v>
      </c>
      <c r="G46" s="170">
        <v>0.90164959999999994</v>
      </c>
      <c r="H46" s="171"/>
      <c r="I46" s="123" t="s">
        <v>295</v>
      </c>
      <c r="J46" s="165"/>
      <c r="K46" s="172">
        <f t="shared" si="12"/>
        <v>0</v>
      </c>
      <c r="L46" s="173">
        <f t="shared" si="3"/>
        <v>0</v>
      </c>
      <c r="M46" s="174"/>
      <c r="N46" s="182"/>
      <c r="O46" s="181">
        <v>0</v>
      </c>
      <c r="P46" s="293">
        <f>SUM(K46:O46)</f>
        <v>0</v>
      </c>
      <c r="Q46" s="152"/>
      <c r="R46" s="134">
        <v>0</v>
      </c>
      <c r="S46" s="134">
        <v>0</v>
      </c>
      <c r="T46" s="134">
        <v>0</v>
      </c>
      <c r="U46" s="134">
        <v>0</v>
      </c>
      <c r="V46" s="134">
        <v>0</v>
      </c>
      <c r="W46" s="134">
        <v>0</v>
      </c>
      <c r="X46" s="134">
        <v>0</v>
      </c>
      <c r="Y46" s="304">
        <f t="shared" si="5"/>
        <v>0</v>
      </c>
      <c r="AK46" s="349"/>
      <c r="AL46" s="349"/>
      <c r="AM46" s="349"/>
      <c r="AN46" s="349"/>
      <c r="AO46" s="349"/>
      <c r="AP46" s="349"/>
      <c r="AQ46" s="349"/>
      <c r="AR46" s="349"/>
      <c r="AS46" s="349"/>
      <c r="AT46" s="349"/>
      <c r="AU46" s="349"/>
      <c r="AV46" s="349"/>
    </row>
    <row r="47" spans="2:48" x14ac:dyDescent="0.25">
      <c r="B47" s="84"/>
      <c r="C47" s="23" t="s">
        <v>177</v>
      </c>
      <c r="D47" s="23" t="str">
        <f>INDEX(Unit_Rates!$C$7:$K$113,MATCH($C47,Unit_Rates!$C$7:$C$113,0),5)</f>
        <v>Subtransmission</v>
      </c>
      <c r="E47" s="23" t="str">
        <f>INDEX(Unit_Rates!$C$7:$K$113,MATCH($C47,Unit_Rates!$C$7:$C$113,0),6)</f>
        <v>Augmentation</v>
      </c>
      <c r="F47" s="23" t="str">
        <f t="shared" si="6"/>
        <v>SubtransmissionAugmentation</v>
      </c>
      <c r="G47" s="179">
        <f>INDEX(Unit_Rates!$C$7:$K$113,MATCH($C47,Unit_Rates!$C$7:$C$113,0),7)</f>
        <v>4.9999999999999996E-2</v>
      </c>
      <c r="H47" s="171"/>
      <c r="I47" s="123" t="s">
        <v>295</v>
      </c>
      <c r="J47" s="165"/>
      <c r="K47" s="172">
        <f t="shared" si="12"/>
        <v>0</v>
      </c>
      <c r="L47" s="173">
        <f t="shared" si="3"/>
        <v>0</v>
      </c>
      <c r="M47" s="174"/>
      <c r="N47" s="182">
        <f>$H47*INDEX(Unit_Rates!$C$7:$K$113,MATCH($C47,Unit_Rates!$C$7:$C$113,0),8)</f>
        <v>0</v>
      </c>
      <c r="O47" s="182">
        <f>$H47*INDEX(Unit_Rates!$C$7:$K$113,MATCH($C47,Unit_Rates!$C$7:$C$113,0),9)</f>
        <v>0</v>
      </c>
      <c r="P47" s="293">
        <f>SUM(K47:O47)</f>
        <v>0</v>
      </c>
      <c r="Q47" s="314">
        <f>P47-H47*VLOOKUP(C47,Unit_Rates!$C$7:$E$113,3,FALSE)</f>
        <v>0</v>
      </c>
      <c r="R47" s="134">
        <v>0</v>
      </c>
      <c r="S47" s="134">
        <v>0</v>
      </c>
      <c r="T47" s="134">
        <v>0</v>
      </c>
      <c r="U47" s="134">
        <v>0</v>
      </c>
      <c r="V47" s="134">
        <v>0</v>
      </c>
      <c r="W47" s="134">
        <v>0</v>
      </c>
      <c r="X47" s="134">
        <v>0</v>
      </c>
      <c r="Y47" s="304">
        <f t="shared" si="5"/>
        <v>0</v>
      </c>
      <c r="AK47" s="349"/>
      <c r="AL47" s="318"/>
      <c r="AM47" s="318"/>
      <c r="AN47" s="318"/>
      <c r="AO47" s="356"/>
      <c r="AP47" s="356"/>
      <c r="AQ47" s="356"/>
      <c r="AR47" s="356"/>
      <c r="AS47" s="356"/>
      <c r="AT47" s="356"/>
      <c r="AU47" s="318"/>
      <c r="AV47" s="349"/>
    </row>
    <row r="48" spans="2:48" x14ac:dyDescent="0.25">
      <c r="B48" s="84"/>
      <c r="C48" s="23" t="s">
        <v>25</v>
      </c>
      <c r="D48" t="s">
        <v>3</v>
      </c>
      <c r="E48" t="s">
        <v>27</v>
      </c>
      <c r="F48" s="23" t="str">
        <f t="shared" si="6"/>
        <v>SubtransmissionAugmentation</v>
      </c>
      <c r="G48" s="170">
        <v>0</v>
      </c>
      <c r="H48" s="171"/>
      <c r="I48" s="123" t="s">
        <v>294</v>
      </c>
      <c r="J48" s="165"/>
      <c r="K48" s="172">
        <f t="shared" si="12"/>
        <v>0</v>
      </c>
      <c r="L48" s="173">
        <f t="shared" si="3"/>
        <v>0</v>
      </c>
      <c r="M48" s="174"/>
      <c r="N48" s="182">
        <v>0</v>
      </c>
      <c r="O48" s="181">
        <v>0</v>
      </c>
      <c r="P48" s="293">
        <f>SUM(K48:O48)</f>
        <v>0</v>
      </c>
      <c r="Q48" s="152"/>
      <c r="R48" s="134">
        <v>0</v>
      </c>
      <c r="S48" s="134">
        <v>0</v>
      </c>
      <c r="T48" s="134">
        <v>0</v>
      </c>
      <c r="U48" s="134">
        <v>0</v>
      </c>
      <c r="V48" s="134">
        <v>0</v>
      </c>
      <c r="W48" s="134">
        <v>0</v>
      </c>
      <c r="X48" s="134">
        <v>0</v>
      </c>
      <c r="Y48" s="304">
        <f t="shared" si="5"/>
        <v>0</v>
      </c>
      <c r="AK48" s="349"/>
      <c r="AL48" s="349"/>
      <c r="AM48" s="349"/>
      <c r="AN48" s="349"/>
      <c r="AO48" s="355"/>
      <c r="AP48" s="355"/>
      <c r="AQ48" s="355"/>
      <c r="AR48" s="355"/>
      <c r="AS48" s="355"/>
      <c r="AT48" s="355"/>
      <c r="AU48" s="349"/>
      <c r="AV48" s="349"/>
    </row>
    <row r="49" spans="2:48" x14ac:dyDescent="0.25">
      <c r="B49" s="84"/>
      <c r="C49" s="23" t="s">
        <v>337</v>
      </c>
      <c r="D49" s="23" t="str">
        <f>INDEX(Unit_Rates!$C$7:$K$113,MATCH($C49,Unit_Rates!$C$7:$C$113,0),5)</f>
        <v>Subtransmission</v>
      </c>
      <c r="E49" s="23" t="str">
        <f>INDEX(Unit_Rates!$C$7:$K$113,MATCH($C49,Unit_Rates!$C$7:$C$113,0),6)</f>
        <v>Augmentation</v>
      </c>
      <c r="F49" s="23" t="str">
        <f t="shared" si="6"/>
        <v>SubtransmissionAugmentation</v>
      </c>
      <c r="G49" s="170">
        <f>INDEX(Unit_Rates!$C$7:$K$113,MATCH($C49,Unit_Rates!$C$7:$C$113,0),7)</f>
        <v>465.78000000000003</v>
      </c>
      <c r="H49" s="171"/>
      <c r="I49" s="123" t="s">
        <v>294</v>
      </c>
      <c r="J49" s="165"/>
      <c r="K49" s="172">
        <f t="shared" si="12"/>
        <v>0</v>
      </c>
      <c r="L49" s="173">
        <f t="shared" si="3"/>
        <v>0</v>
      </c>
      <c r="M49" s="174"/>
      <c r="N49" s="182">
        <f>$H49*INDEX(Unit_Rates!$C$7:$K$113,MATCH($C49,Unit_Rates!$C$7:$C$113,0),8)</f>
        <v>0</v>
      </c>
      <c r="O49" s="182">
        <f>$H49*INDEX(Unit_Rates!$C$7:$K$113,MATCH($C49,Unit_Rates!$C$7:$C$113,0),9)</f>
        <v>0</v>
      </c>
      <c r="P49" s="293">
        <f>SUM(K49:O49)</f>
        <v>0</v>
      </c>
      <c r="Q49" s="314">
        <f>P49-H49*VLOOKUP(C49,Unit_Rates!$C$7:$E$113,3,FALSE)</f>
        <v>0</v>
      </c>
      <c r="R49" s="134">
        <v>0</v>
      </c>
      <c r="S49" s="134">
        <v>0</v>
      </c>
      <c r="T49" s="134">
        <v>0</v>
      </c>
      <c r="U49" s="134">
        <v>0</v>
      </c>
      <c r="V49" s="134">
        <v>0</v>
      </c>
      <c r="W49" s="134">
        <v>0</v>
      </c>
      <c r="X49" s="134">
        <v>0</v>
      </c>
      <c r="Y49" s="304">
        <f t="shared" si="5"/>
        <v>0</v>
      </c>
      <c r="AK49" s="349"/>
      <c r="AL49" s="349"/>
      <c r="AM49" s="349"/>
      <c r="AN49" s="349"/>
      <c r="AO49" s="355"/>
      <c r="AP49" s="355"/>
      <c r="AQ49" s="355"/>
      <c r="AR49" s="355"/>
      <c r="AS49" s="355"/>
      <c r="AT49" s="355"/>
      <c r="AU49" s="349"/>
      <c r="AV49" s="349"/>
    </row>
    <row r="50" spans="2:48" x14ac:dyDescent="0.25">
      <c r="B50" s="84"/>
      <c r="C50" s="23" t="s">
        <v>183</v>
      </c>
      <c r="D50" s="23" t="str">
        <f>INDEX(Unit_Rates!$C$7:$K$113,MATCH($C50,Unit_Rates!$C$7:$C$113,0),5)</f>
        <v>Subtransmission</v>
      </c>
      <c r="E50" s="23" t="str">
        <f>INDEX(Unit_Rates!$C$7:$K$113,MATCH($C50,Unit_Rates!$C$7:$C$113,0),6)</f>
        <v>Augmentation</v>
      </c>
      <c r="F50" s="23" t="str">
        <f t="shared" si="6"/>
        <v>SubtransmissionAugmentation</v>
      </c>
      <c r="G50" s="170">
        <f>INDEX(Unit_Rates!$C$7:$K$113,MATCH($C50,Unit_Rates!$C$7:$C$113,0),7)</f>
        <v>0</v>
      </c>
      <c r="H50" s="171"/>
      <c r="I50" s="123" t="s">
        <v>294</v>
      </c>
      <c r="J50" s="165"/>
      <c r="K50" s="172">
        <v>0</v>
      </c>
      <c r="L50" s="173">
        <f t="shared" si="3"/>
        <v>0</v>
      </c>
      <c r="M50" s="174"/>
      <c r="N50" s="182">
        <f>$H50*INDEX(Unit_Rates!$C$7:$K$113,MATCH($C50,Unit_Rates!$C$7:$C$113,0),8)</f>
        <v>0</v>
      </c>
      <c r="O50" s="182">
        <f>$H50*INDEX(Unit_Rates!$C$7:$K$113,MATCH($C50,Unit_Rates!$C$7:$C$113,0),9)</f>
        <v>0</v>
      </c>
      <c r="P50" s="293">
        <f t="shared" ref="P50" si="13">SUM(K50:O50)</f>
        <v>0</v>
      </c>
      <c r="Q50" s="314">
        <f>P50-H50*VLOOKUP(C50,Unit_Rates!$C$7:$E$113,3,FALSE)</f>
        <v>0</v>
      </c>
      <c r="R50" s="134">
        <v>0</v>
      </c>
      <c r="S50" s="134">
        <v>0</v>
      </c>
      <c r="T50" s="134">
        <v>0</v>
      </c>
      <c r="U50" s="134">
        <v>0</v>
      </c>
      <c r="V50" s="134">
        <v>0</v>
      </c>
      <c r="W50" s="134">
        <v>0</v>
      </c>
      <c r="X50" s="134">
        <v>0</v>
      </c>
      <c r="Y50" s="304">
        <f t="shared" si="5"/>
        <v>0</v>
      </c>
      <c r="AK50" s="349"/>
      <c r="AL50" s="349"/>
      <c r="AM50" s="349"/>
      <c r="AN50" s="349"/>
      <c r="AO50" s="355"/>
      <c r="AP50" s="355"/>
      <c r="AQ50" s="355"/>
      <c r="AR50" s="355"/>
      <c r="AS50" s="355"/>
      <c r="AT50" s="355"/>
      <c r="AU50" s="349"/>
      <c r="AV50" s="349"/>
    </row>
    <row r="51" spans="2:48" x14ac:dyDescent="0.25">
      <c r="B51" s="84"/>
      <c r="G51" s="170"/>
      <c r="H51" s="171"/>
      <c r="I51" s="167"/>
      <c r="J51" s="165"/>
      <c r="K51" s="149"/>
      <c r="L51" s="167"/>
      <c r="M51" s="169"/>
      <c r="N51" s="181"/>
      <c r="O51" s="181"/>
      <c r="P51" s="371"/>
      <c r="Q51" s="152"/>
      <c r="R51" s="189"/>
      <c r="S51" s="189"/>
      <c r="T51" s="189"/>
      <c r="U51" s="189"/>
      <c r="V51" s="189"/>
      <c r="W51" s="189"/>
      <c r="X51" s="189"/>
      <c r="Y51" s="77"/>
      <c r="AK51" s="349"/>
      <c r="AL51" s="349"/>
      <c r="AM51" s="349"/>
      <c r="AN51" s="349"/>
      <c r="AO51" s="349"/>
      <c r="AP51" s="349"/>
      <c r="AQ51" s="349"/>
      <c r="AR51" s="349"/>
      <c r="AS51" s="349"/>
      <c r="AT51" s="349"/>
      <c r="AU51" s="349"/>
      <c r="AV51" s="349"/>
    </row>
    <row r="52" spans="2:48" x14ac:dyDescent="0.25">
      <c r="B52" s="120" t="s">
        <v>296</v>
      </c>
      <c r="G52" s="170"/>
      <c r="H52" s="171"/>
      <c r="I52" s="123"/>
      <c r="J52" s="153"/>
      <c r="K52" s="172"/>
      <c r="L52" s="172"/>
      <c r="M52" s="181"/>
      <c r="N52" s="182"/>
      <c r="O52" s="181"/>
      <c r="P52" s="293"/>
      <c r="Q52" s="152"/>
      <c r="R52" s="189"/>
      <c r="S52" s="189"/>
      <c r="T52" s="189"/>
      <c r="U52" s="189"/>
      <c r="V52" s="189"/>
      <c r="W52" s="189"/>
      <c r="X52" s="189"/>
      <c r="Y52" s="77"/>
      <c r="AK52" s="349"/>
      <c r="AL52" s="349"/>
      <c r="AM52" s="349"/>
      <c r="AN52" s="349"/>
      <c r="AO52" s="349"/>
      <c r="AP52" s="349"/>
      <c r="AQ52" s="349"/>
      <c r="AR52" s="349"/>
      <c r="AS52" s="349"/>
      <c r="AT52" s="349"/>
      <c r="AU52" s="349"/>
      <c r="AV52" s="349"/>
    </row>
    <row r="53" spans="2:48" x14ac:dyDescent="0.25">
      <c r="B53" s="84"/>
      <c r="C53" s="23" t="s">
        <v>348</v>
      </c>
      <c r="D53" s="23" t="str">
        <f>INDEX(Unit_Rates!$C$7:$K$113,MATCH($C53,Unit_Rates!$C$7:$C$113,0),5)</f>
        <v>SCADA/Network control</v>
      </c>
      <c r="E53" s="23" t="str">
        <f>INDEX(Unit_Rates!$C$7:$K$113,MATCH($C53,Unit_Rates!$C$7:$C$113,0),6)</f>
        <v>Augmentation</v>
      </c>
      <c r="F53" s="23" t="str">
        <f t="shared" ref="F53:F64" si="14">D53&amp;E53</f>
        <v>SCADA/Network controlAugmentation</v>
      </c>
      <c r="G53" s="170">
        <f>INDEX(Unit_Rates!$C$7:$K$113,MATCH($C53,Unit_Rates!$C$7:$C$113,0),7)</f>
        <v>76.729563200000001</v>
      </c>
      <c r="H53" s="171"/>
      <c r="I53" s="123" t="s">
        <v>294</v>
      </c>
      <c r="J53" s="165"/>
      <c r="K53" s="172">
        <f>G53*H53</f>
        <v>0</v>
      </c>
      <c r="L53" s="172">
        <f t="shared" ref="L53:L64" si="15">SUMPRODUCT(R$5:X$5,R53:X53)/Thousands</f>
        <v>0</v>
      </c>
      <c r="M53" s="151"/>
      <c r="N53" s="182">
        <f>$H53*INDEX(Unit_Rates!$C$7:$K$113,MATCH($C53,Unit_Rates!$C$7:$C$113,0),8)</f>
        <v>0</v>
      </c>
      <c r="O53" s="182">
        <f>$H53*INDEX(Unit_Rates!$C$7:$K$113,MATCH($C53,Unit_Rates!$C$7:$C$113,0),9)</f>
        <v>0</v>
      </c>
      <c r="P53" s="293">
        <f t="shared" ref="P53:P61" si="16">SUM(K53:O53)</f>
        <v>0</v>
      </c>
      <c r="Q53" s="314">
        <f>P53-H53*VLOOKUP(C53,Unit_Rates!$C$7:$E$113,3,FALSE)</f>
        <v>0</v>
      </c>
      <c r="R53" s="134">
        <v>0</v>
      </c>
      <c r="S53" s="134">
        <v>0</v>
      </c>
      <c r="T53" s="134">
        <v>0</v>
      </c>
      <c r="U53" s="134">
        <v>0</v>
      </c>
      <c r="V53" s="134">
        <v>0</v>
      </c>
      <c r="W53" s="134">
        <v>0</v>
      </c>
      <c r="X53" s="134">
        <v>0</v>
      </c>
      <c r="Y53" s="304">
        <f t="shared" ref="Y53:Y64" si="17">SUM(R53:X53)</f>
        <v>0</v>
      </c>
      <c r="AK53" s="349"/>
      <c r="AL53" s="354"/>
      <c r="AM53" s="349"/>
      <c r="AN53" s="349"/>
      <c r="AO53" s="349"/>
      <c r="AP53" s="349"/>
      <c r="AQ53" s="349"/>
      <c r="AR53" s="349"/>
      <c r="AS53" s="349"/>
      <c r="AT53" s="349"/>
      <c r="AU53" s="349"/>
      <c r="AV53" s="349"/>
    </row>
    <row r="54" spans="2:48" x14ac:dyDescent="0.25">
      <c r="B54" s="84"/>
      <c r="C54" s="23" t="s">
        <v>349</v>
      </c>
      <c r="D54" s="23" t="str">
        <f>INDEX(Unit_Rates!$C$7:$K$113,MATCH($C54,Unit_Rates!$C$7:$C$113,0),5)</f>
        <v>SCADA/Network control</v>
      </c>
      <c r="E54" s="23" t="str">
        <f>INDEX(Unit_Rates!$C$7:$K$113,MATCH($C54,Unit_Rates!$C$7:$C$113,0),6)</f>
        <v>Augmentation</v>
      </c>
      <c r="F54" s="23" t="str">
        <f t="shared" si="14"/>
        <v>SCADA/Network controlAugmentation</v>
      </c>
      <c r="G54" s="170">
        <f>INDEX(Unit_Rates!$C$7:$K$113,MATCH($C54,Unit_Rates!$C$7:$C$113,0),7)</f>
        <v>223.65781870000001</v>
      </c>
      <c r="H54" s="171"/>
      <c r="I54" s="123" t="s">
        <v>294</v>
      </c>
      <c r="J54" s="165"/>
      <c r="K54" s="172">
        <f>G54*H54</f>
        <v>0</v>
      </c>
      <c r="L54" s="172">
        <f t="shared" si="15"/>
        <v>0</v>
      </c>
      <c r="M54" s="151"/>
      <c r="N54" s="182">
        <f>$H54*INDEX(Unit_Rates!$C$7:$K$113,MATCH($C54,Unit_Rates!$C$7:$C$113,0),8)</f>
        <v>0</v>
      </c>
      <c r="O54" s="182">
        <f>$H54*INDEX(Unit_Rates!$C$7:$K$113,MATCH($C54,Unit_Rates!$C$7:$C$113,0),9)</f>
        <v>0</v>
      </c>
      <c r="P54" s="293">
        <f t="shared" si="16"/>
        <v>0</v>
      </c>
      <c r="Q54" s="314">
        <f>P54-H54*VLOOKUP(C54,Unit_Rates!$C$7:$E$113,3,FALSE)</f>
        <v>0</v>
      </c>
      <c r="R54" s="134">
        <v>0</v>
      </c>
      <c r="S54" s="134">
        <v>0</v>
      </c>
      <c r="T54" s="134">
        <v>0</v>
      </c>
      <c r="U54" s="134">
        <v>0</v>
      </c>
      <c r="V54" s="134">
        <v>0</v>
      </c>
      <c r="W54" s="134">
        <v>0</v>
      </c>
      <c r="X54" s="134">
        <v>0</v>
      </c>
      <c r="Y54" s="304">
        <f t="shared" si="17"/>
        <v>0</v>
      </c>
      <c r="AK54" s="349"/>
      <c r="AL54" s="349"/>
      <c r="AM54" s="349"/>
      <c r="AN54" s="349"/>
      <c r="AO54" s="349"/>
      <c r="AP54" s="349"/>
      <c r="AQ54" s="349"/>
      <c r="AR54" s="349"/>
      <c r="AS54" s="349"/>
      <c r="AT54" s="349"/>
      <c r="AU54" s="349"/>
      <c r="AV54" s="349"/>
    </row>
    <row r="55" spans="2:48" x14ac:dyDescent="0.25">
      <c r="B55" s="84"/>
      <c r="C55" s="23" t="s">
        <v>350</v>
      </c>
      <c r="D55" s="23" t="str">
        <f>INDEX(Unit_Rates!$C$7:$K$113,MATCH($C55,Unit_Rates!$C$7:$C$113,0),5)</f>
        <v>SCADA/Network control</v>
      </c>
      <c r="E55" s="23" t="str">
        <f>INDEX(Unit_Rates!$C$7:$K$113,MATCH($C55,Unit_Rates!$C$7:$C$113,0),6)</f>
        <v>Augmentation</v>
      </c>
      <c r="F55" s="23" t="str">
        <f t="shared" si="14"/>
        <v>SCADA/Network controlAugmentation</v>
      </c>
      <c r="G55" s="170">
        <f>INDEX(Unit_Rates!$C$7:$K$113,MATCH($C55,Unit_Rates!$C$7:$C$113,0),7)</f>
        <v>252.11545104999999</v>
      </c>
      <c r="H55" s="171"/>
      <c r="I55" s="123" t="s">
        <v>294</v>
      </c>
      <c r="J55" s="165"/>
      <c r="K55" s="172">
        <f t="shared" ref="K55:K60" si="18">G55*H55</f>
        <v>0</v>
      </c>
      <c r="L55" s="172">
        <f t="shared" si="15"/>
        <v>0</v>
      </c>
      <c r="M55" s="151"/>
      <c r="N55" s="182">
        <f>$H55*INDEX(Unit_Rates!$C$7:$K$113,MATCH($C55,Unit_Rates!$C$7:$C$113,0),8)</f>
        <v>0</v>
      </c>
      <c r="O55" s="182">
        <f>$H55*INDEX(Unit_Rates!$C$7:$K$113,MATCH($C55,Unit_Rates!$C$7:$C$113,0),9)</f>
        <v>0</v>
      </c>
      <c r="P55" s="293">
        <f t="shared" si="16"/>
        <v>0</v>
      </c>
      <c r="Q55" s="314">
        <f>P55-H55*VLOOKUP(C55,Unit_Rates!$C$7:$E$113,3,FALSE)</f>
        <v>0</v>
      </c>
      <c r="R55" s="134">
        <v>0</v>
      </c>
      <c r="S55" s="134">
        <v>0</v>
      </c>
      <c r="T55" s="134">
        <v>0</v>
      </c>
      <c r="U55" s="134">
        <v>0</v>
      </c>
      <c r="V55" s="134">
        <v>0</v>
      </c>
      <c r="W55" s="134">
        <v>0</v>
      </c>
      <c r="X55" s="134">
        <v>0</v>
      </c>
      <c r="Y55" s="304">
        <f t="shared" si="17"/>
        <v>0</v>
      </c>
      <c r="AK55" s="349"/>
      <c r="AL55" s="349"/>
      <c r="AM55" s="349"/>
      <c r="AN55" s="349"/>
      <c r="AO55" s="355"/>
      <c r="AP55" s="355"/>
      <c r="AQ55" s="355"/>
      <c r="AR55" s="355"/>
      <c r="AS55" s="355"/>
      <c r="AT55" s="355"/>
      <c r="AU55" s="349"/>
      <c r="AV55" s="349"/>
    </row>
    <row r="56" spans="2:48" x14ac:dyDescent="0.25">
      <c r="B56" s="84"/>
      <c r="C56" s="23" t="s">
        <v>187</v>
      </c>
      <c r="D56" s="23" t="str">
        <f>INDEX(Unit_Rates!$C$7:$K$113,MATCH($C56,Unit_Rates!$C$7:$C$113,0),5)</f>
        <v>SCADA/Network control</v>
      </c>
      <c r="E56" s="23" t="str">
        <f>INDEX(Unit_Rates!$C$7:$K$113,MATCH($C56,Unit_Rates!$C$7:$C$113,0),6)</f>
        <v>Augmentation</v>
      </c>
      <c r="F56" s="23" t="str">
        <f t="shared" si="14"/>
        <v>SCADA/Network controlAugmentation</v>
      </c>
      <c r="G56" s="170">
        <f>INDEX(Unit_Rates!$C$7:$K$113,MATCH($C56,Unit_Rates!$C$7:$C$113,0),7)</f>
        <v>48.982274401473298</v>
      </c>
      <c r="H56" s="171"/>
      <c r="I56" s="123" t="s">
        <v>294</v>
      </c>
      <c r="J56" s="165"/>
      <c r="K56" s="172">
        <f t="shared" si="18"/>
        <v>0</v>
      </c>
      <c r="L56" s="172">
        <f t="shared" si="15"/>
        <v>0</v>
      </c>
      <c r="M56" s="151"/>
      <c r="N56" s="182">
        <f>$H56*INDEX(Unit_Rates!$C$7:$K$113,MATCH($C56,Unit_Rates!$C$7:$C$113,0),8)</f>
        <v>0</v>
      </c>
      <c r="O56" s="182">
        <f>$H56*INDEX(Unit_Rates!$C$7:$K$113,MATCH($C56,Unit_Rates!$C$7:$C$113,0),9)</f>
        <v>0</v>
      </c>
      <c r="P56" s="293">
        <f t="shared" si="16"/>
        <v>0</v>
      </c>
      <c r="Q56" s="314">
        <f>P56-H56*VLOOKUP(C56,Unit_Rates!$C$7:$E$113,3,FALSE)</f>
        <v>0</v>
      </c>
      <c r="R56" s="134">
        <v>0</v>
      </c>
      <c r="S56" s="134">
        <v>0</v>
      </c>
      <c r="T56" s="134">
        <v>0</v>
      </c>
      <c r="U56" s="134">
        <v>0</v>
      </c>
      <c r="V56" s="134">
        <v>0</v>
      </c>
      <c r="W56" s="134">
        <v>0</v>
      </c>
      <c r="X56" s="134">
        <v>0</v>
      </c>
      <c r="Y56" s="304">
        <f t="shared" si="17"/>
        <v>0</v>
      </c>
      <c r="AK56" s="349"/>
      <c r="AL56" s="349"/>
      <c r="AM56" s="349"/>
      <c r="AN56" s="349"/>
      <c r="AO56" s="355"/>
      <c r="AP56" s="355"/>
      <c r="AQ56" s="355"/>
      <c r="AR56" s="355"/>
      <c r="AS56" s="355"/>
      <c r="AT56" s="355"/>
      <c r="AU56" s="349"/>
      <c r="AV56" s="349"/>
    </row>
    <row r="57" spans="2:48" x14ac:dyDescent="0.25">
      <c r="B57" s="84"/>
      <c r="C57" s="23" t="s">
        <v>190</v>
      </c>
      <c r="D57" s="23" t="str">
        <f>INDEX(Unit_Rates!$C$7:$K$113,MATCH($C57,Unit_Rates!$C$7:$C$113,0),5)</f>
        <v>SCADA/Network control</v>
      </c>
      <c r="E57" s="23" t="str">
        <f>INDEX(Unit_Rates!$C$7:$K$113,MATCH($C57,Unit_Rates!$C$7:$C$113,0),6)</f>
        <v>Augmentation</v>
      </c>
      <c r="F57" s="23" t="str">
        <f t="shared" si="14"/>
        <v>SCADA/Network controlAugmentation</v>
      </c>
      <c r="G57" s="170">
        <f>INDEX(Unit_Rates!$C$7:$K$113,MATCH($C57,Unit_Rates!$C$7:$C$113,0),7)</f>
        <v>6.2430939226519344</v>
      </c>
      <c r="H57" s="171"/>
      <c r="I57" s="123" t="s">
        <v>294</v>
      </c>
      <c r="J57" s="165"/>
      <c r="K57" s="172">
        <f t="shared" si="18"/>
        <v>0</v>
      </c>
      <c r="L57" s="172">
        <f t="shared" si="15"/>
        <v>0</v>
      </c>
      <c r="M57" s="151"/>
      <c r="N57" s="182">
        <f>$H57*INDEX(Unit_Rates!$C$7:$K$113,MATCH($C57,Unit_Rates!$C$7:$C$113,0),8)</f>
        <v>0</v>
      </c>
      <c r="O57" s="182">
        <f>$H57*INDEX(Unit_Rates!$C$7:$K$113,MATCH($C57,Unit_Rates!$C$7:$C$113,0),9)</f>
        <v>0</v>
      </c>
      <c r="P57" s="293">
        <f t="shared" si="16"/>
        <v>0</v>
      </c>
      <c r="Q57" s="314">
        <f>P57-H57*VLOOKUP(C57,Unit_Rates!$C$7:$E$113,3,FALSE)</f>
        <v>0</v>
      </c>
      <c r="R57" s="134">
        <v>0</v>
      </c>
      <c r="S57" s="134">
        <v>0</v>
      </c>
      <c r="T57" s="134">
        <v>0</v>
      </c>
      <c r="U57" s="134">
        <v>0</v>
      </c>
      <c r="V57" s="134">
        <v>0</v>
      </c>
      <c r="W57" s="134">
        <v>0</v>
      </c>
      <c r="X57" s="134">
        <v>0</v>
      </c>
      <c r="Y57" s="304">
        <f t="shared" si="17"/>
        <v>0</v>
      </c>
      <c r="AK57" s="349"/>
      <c r="AL57" s="349"/>
      <c r="AM57" s="349"/>
      <c r="AN57" s="349"/>
      <c r="AO57" s="355"/>
      <c r="AP57" s="355"/>
      <c r="AQ57" s="355"/>
      <c r="AR57" s="355"/>
      <c r="AS57" s="355"/>
      <c r="AT57" s="355"/>
      <c r="AU57" s="349"/>
      <c r="AV57" s="349"/>
    </row>
    <row r="58" spans="2:48" x14ac:dyDescent="0.25">
      <c r="B58" s="84"/>
      <c r="C58" s="23" t="s">
        <v>193</v>
      </c>
      <c r="D58" s="23" t="str">
        <f>INDEX(Unit_Rates!$C$7:$K$113,MATCH($C58,Unit_Rates!$C$7:$C$113,0),5)</f>
        <v>SCADA/Network control</v>
      </c>
      <c r="E58" s="23" t="str">
        <f>INDEX(Unit_Rates!$C$7:$K$113,MATCH($C58,Unit_Rates!$C$7:$C$113,0),6)</f>
        <v>Augmentation</v>
      </c>
      <c r="F58" s="23" t="str">
        <f t="shared" si="14"/>
        <v>SCADA/Network controlAugmentation</v>
      </c>
      <c r="G58" s="170">
        <f>INDEX(Unit_Rates!$C$7:$K$113,MATCH($C58,Unit_Rates!$C$7:$C$113,0),7)</f>
        <v>98.007730202578273</v>
      </c>
      <c r="H58" s="171"/>
      <c r="I58" s="123" t="s">
        <v>294</v>
      </c>
      <c r="J58" s="165"/>
      <c r="K58" s="172">
        <f t="shared" si="18"/>
        <v>0</v>
      </c>
      <c r="L58" s="172">
        <f t="shared" si="15"/>
        <v>0</v>
      </c>
      <c r="M58" s="151"/>
      <c r="N58" s="182">
        <f>$H58*INDEX(Unit_Rates!$C$7:$K$113,MATCH($C58,Unit_Rates!$C$7:$C$113,0),8)</f>
        <v>0</v>
      </c>
      <c r="O58" s="182">
        <f>$H58*INDEX(Unit_Rates!$C$7:$K$113,MATCH($C58,Unit_Rates!$C$7:$C$113,0),9)</f>
        <v>0</v>
      </c>
      <c r="P58" s="293">
        <f t="shared" si="16"/>
        <v>0</v>
      </c>
      <c r="Q58" s="314">
        <f>P58-H58*VLOOKUP(C58,Unit_Rates!$C$103:$E$113,3,FALSE)</f>
        <v>0</v>
      </c>
      <c r="R58" s="134">
        <v>0</v>
      </c>
      <c r="S58" s="134">
        <v>0</v>
      </c>
      <c r="T58" s="134">
        <v>0</v>
      </c>
      <c r="U58" s="134">
        <v>0</v>
      </c>
      <c r="V58" s="134">
        <v>0</v>
      </c>
      <c r="W58" s="134">
        <v>0</v>
      </c>
      <c r="X58" s="134">
        <v>0</v>
      </c>
      <c r="Y58" s="304">
        <f t="shared" si="17"/>
        <v>0</v>
      </c>
      <c r="AK58" s="349"/>
      <c r="AL58" s="349"/>
      <c r="AM58" s="349"/>
      <c r="AN58" s="349"/>
      <c r="AO58" s="355"/>
      <c r="AP58" s="355"/>
      <c r="AQ58" s="355"/>
      <c r="AR58" s="355"/>
      <c r="AS58" s="355"/>
      <c r="AT58" s="355"/>
      <c r="AU58" s="349"/>
      <c r="AV58" s="349"/>
    </row>
    <row r="59" spans="2:48" x14ac:dyDescent="0.25">
      <c r="B59" s="84"/>
      <c r="C59" s="23" t="s">
        <v>297</v>
      </c>
      <c r="D59" t="s">
        <v>2</v>
      </c>
      <c r="E59" t="s">
        <v>27</v>
      </c>
      <c r="F59" t="s">
        <v>31</v>
      </c>
      <c r="G59" s="184">
        <v>5</v>
      </c>
      <c r="H59" s="171"/>
      <c r="I59" s="123" t="s">
        <v>294</v>
      </c>
      <c r="J59" s="165"/>
      <c r="K59" s="172">
        <f t="shared" si="18"/>
        <v>0</v>
      </c>
      <c r="L59" s="172">
        <f t="shared" si="15"/>
        <v>0</v>
      </c>
      <c r="M59" s="151"/>
      <c r="N59" s="182"/>
      <c r="O59" s="181"/>
      <c r="P59" s="293">
        <f>SUM(K59:O59)</f>
        <v>0</v>
      </c>
      <c r="Q59" s="152"/>
      <c r="R59" s="134">
        <v>0</v>
      </c>
      <c r="S59" s="134">
        <v>0</v>
      </c>
      <c r="T59" s="134">
        <v>0</v>
      </c>
      <c r="U59" s="134">
        <v>0</v>
      </c>
      <c r="V59" s="134">
        <v>0</v>
      </c>
      <c r="W59" s="134">
        <v>0</v>
      </c>
      <c r="X59" s="134">
        <v>0</v>
      </c>
      <c r="Y59" s="304">
        <f t="shared" si="17"/>
        <v>0</v>
      </c>
      <c r="AK59" s="349"/>
      <c r="AL59" s="349"/>
      <c r="AM59" s="349"/>
      <c r="AN59" s="349"/>
      <c r="AO59" s="355"/>
      <c r="AP59" s="355"/>
      <c r="AQ59" s="355"/>
      <c r="AR59" s="355"/>
      <c r="AS59" s="355"/>
      <c r="AT59" s="355"/>
      <c r="AU59" s="349"/>
      <c r="AV59" s="349"/>
    </row>
    <row r="60" spans="2:48" x14ac:dyDescent="0.25">
      <c r="B60" s="84"/>
      <c r="C60" s="23" t="s">
        <v>205</v>
      </c>
      <c r="D60" t="s">
        <v>2</v>
      </c>
      <c r="E60" t="s">
        <v>27</v>
      </c>
      <c r="F60" t="s">
        <v>31</v>
      </c>
      <c r="G60" s="170">
        <f>INDEX(Unit_Rates!$C$7:$K$113,MATCH($C60,Unit_Rates!$C$7:$C$113,0),7)</f>
        <v>92.239631675874776</v>
      </c>
      <c r="H60" s="171"/>
      <c r="I60" s="123" t="s">
        <v>294</v>
      </c>
      <c r="J60" s="165"/>
      <c r="K60" s="172">
        <f t="shared" si="18"/>
        <v>0</v>
      </c>
      <c r="L60" s="172">
        <f t="shared" si="15"/>
        <v>0</v>
      </c>
      <c r="M60" s="151"/>
      <c r="N60" s="182">
        <f>$H60*INDEX(Unit_Rates!$C$7:$K$113,MATCH($C60,Unit_Rates!$C$7:$C$113,0),8)</f>
        <v>0</v>
      </c>
      <c r="O60" s="182">
        <f>$H60*INDEX(Unit_Rates!$C$7:$K$113,MATCH($C60,Unit_Rates!$C$7:$C$113,0),9)</f>
        <v>0</v>
      </c>
      <c r="P60" s="293">
        <f>SUM(K60:O60)</f>
        <v>0</v>
      </c>
      <c r="Q60" s="314">
        <f>P60-H60*VLOOKUP(C60,Unit_Rates!$C$103:$E$113,3,FALSE)</f>
        <v>0</v>
      </c>
      <c r="R60" s="134">
        <v>0</v>
      </c>
      <c r="S60" s="134">
        <v>0</v>
      </c>
      <c r="T60" s="134">
        <v>0</v>
      </c>
      <c r="U60" s="134">
        <v>0</v>
      </c>
      <c r="V60" s="134">
        <v>0</v>
      </c>
      <c r="W60" s="134">
        <v>0</v>
      </c>
      <c r="X60" s="134">
        <v>0</v>
      </c>
      <c r="Y60" s="304">
        <f t="shared" si="17"/>
        <v>0</v>
      </c>
      <c r="AK60" s="349"/>
      <c r="AL60" s="349"/>
      <c r="AM60" s="349"/>
      <c r="AN60" s="349"/>
      <c r="AO60" s="355"/>
      <c r="AP60" s="355"/>
      <c r="AQ60" s="355"/>
      <c r="AR60" s="355"/>
      <c r="AS60" s="355"/>
      <c r="AT60" s="355"/>
      <c r="AU60" s="349"/>
      <c r="AV60" s="349"/>
    </row>
    <row r="61" spans="2:48" x14ac:dyDescent="0.25">
      <c r="B61" s="84"/>
      <c r="C61" s="23" t="s">
        <v>298</v>
      </c>
      <c r="D61" t="s">
        <v>2</v>
      </c>
      <c r="E61" t="s">
        <v>27</v>
      </c>
      <c r="F61" s="23" t="str">
        <f t="shared" si="14"/>
        <v>SCADA/Network controlAugmentation</v>
      </c>
      <c r="G61" s="184">
        <v>5</v>
      </c>
      <c r="H61" s="171"/>
      <c r="I61" s="123" t="s">
        <v>294</v>
      </c>
      <c r="J61" s="165"/>
      <c r="K61" s="172">
        <f>G61*H61</f>
        <v>0</v>
      </c>
      <c r="L61" s="172">
        <f t="shared" si="15"/>
        <v>0</v>
      </c>
      <c r="M61" s="151"/>
      <c r="N61" s="182"/>
      <c r="O61" s="181"/>
      <c r="P61" s="293">
        <f t="shared" si="16"/>
        <v>0</v>
      </c>
      <c r="Q61" s="152"/>
      <c r="R61" s="134">
        <v>0</v>
      </c>
      <c r="S61" s="134">
        <v>0</v>
      </c>
      <c r="T61" s="134">
        <v>0</v>
      </c>
      <c r="U61" s="134">
        <v>0</v>
      </c>
      <c r="V61" s="134">
        <v>0</v>
      </c>
      <c r="W61" s="134">
        <v>0</v>
      </c>
      <c r="X61" s="134">
        <v>0</v>
      </c>
      <c r="Y61" s="304">
        <f t="shared" si="17"/>
        <v>0</v>
      </c>
      <c r="AK61" s="349"/>
      <c r="AL61" s="349"/>
      <c r="AM61" s="349"/>
      <c r="AN61" s="349"/>
      <c r="AO61" s="355"/>
      <c r="AP61" s="355"/>
      <c r="AQ61" s="355"/>
      <c r="AR61" s="355"/>
      <c r="AS61" s="355"/>
      <c r="AT61" s="355"/>
      <c r="AU61" s="349"/>
      <c r="AV61" s="349"/>
    </row>
    <row r="62" spans="2:48" x14ac:dyDescent="0.25">
      <c r="B62" s="120" t="s">
        <v>299</v>
      </c>
      <c r="D62" t="s">
        <v>3</v>
      </c>
      <c r="E62" t="s">
        <v>27</v>
      </c>
      <c r="F62" s="23" t="str">
        <f t="shared" si="14"/>
        <v>SubtransmissionAugmentation</v>
      </c>
      <c r="G62" s="185">
        <v>30.915804766666668</v>
      </c>
      <c r="H62" s="171"/>
      <c r="I62" s="123" t="s">
        <v>294</v>
      </c>
      <c r="J62" s="165"/>
      <c r="K62" s="172">
        <f>G62*H62</f>
        <v>0</v>
      </c>
      <c r="L62" s="172">
        <f t="shared" si="15"/>
        <v>0</v>
      </c>
      <c r="M62" s="151"/>
      <c r="N62" s="182"/>
      <c r="O62" s="181"/>
      <c r="P62" s="293">
        <f>SUM(K62:O62)</f>
        <v>0</v>
      </c>
      <c r="Q62" s="152"/>
      <c r="R62" s="134">
        <v>0</v>
      </c>
      <c r="S62" s="134">
        <v>0</v>
      </c>
      <c r="T62" s="134">
        <v>0</v>
      </c>
      <c r="U62" s="134">
        <v>0</v>
      </c>
      <c r="V62" s="134">
        <v>0</v>
      </c>
      <c r="W62" s="134">
        <v>0</v>
      </c>
      <c r="X62" s="134">
        <v>0</v>
      </c>
      <c r="Y62" s="304">
        <f t="shared" si="17"/>
        <v>0</v>
      </c>
      <c r="AK62" s="349"/>
      <c r="AL62" s="349"/>
      <c r="AM62" s="349"/>
      <c r="AN62" s="349"/>
      <c r="AO62" s="355"/>
      <c r="AP62" s="355"/>
      <c r="AQ62" s="355"/>
      <c r="AR62" s="355"/>
      <c r="AS62" s="355"/>
      <c r="AT62" s="355"/>
      <c r="AU62" s="349"/>
      <c r="AV62" s="349"/>
    </row>
    <row r="63" spans="2:48" x14ac:dyDescent="0.25">
      <c r="B63" s="120" t="s">
        <v>347</v>
      </c>
      <c r="D63" t="s">
        <v>3</v>
      </c>
      <c r="E63" t="s">
        <v>27</v>
      </c>
      <c r="F63" s="23" t="str">
        <f t="shared" si="14"/>
        <v>SubtransmissionAugmentation</v>
      </c>
      <c r="G63" s="185">
        <v>4.5</v>
      </c>
      <c r="H63" s="171"/>
      <c r="I63" s="123" t="s">
        <v>294</v>
      </c>
      <c r="J63" s="165"/>
      <c r="K63" s="172">
        <f>G63*H63</f>
        <v>0</v>
      </c>
      <c r="L63" s="172">
        <f t="shared" si="15"/>
        <v>0</v>
      </c>
      <c r="M63" s="151"/>
      <c r="N63" s="182"/>
      <c r="O63" s="181"/>
      <c r="P63" s="293">
        <f>SUM(K63:O63)</f>
        <v>0</v>
      </c>
      <c r="Q63" s="152"/>
      <c r="R63" s="134">
        <v>0</v>
      </c>
      <c r="S63" s="134">
        <v>0</v>
      </c>
      <c r="T63" s="134">
        <v>0</v>
      </c>
      <c r="U63" s="134">
        <v>0</v>
      </c>
      <c r="V63" s="134">
        <v>0</v>
      </c>
      <c r="W63" s="134">
        <v>0</v>
      </c>
      <c r="X63" s="134">
        <v>0</v>
      </c>
      <c r="Y63" s="304">
        <f t="shared" si="17"/>
        <v>0</v>
      </c>
      <c r="AK63" s="349"/>
      <c r="AL63" s="349"/>
      <c r="AM63" s="349"/>
      <c r="AN63" s="349"/>
      <c r="AO63" s="355"/>
      <c r="AP63" s="355"/>
      <c r="AQ63" s="355"/>
      <c r="AR63" s="355"/>
      <c r="AS63" s="355"/>
      <c r="AT63" s="355"/>
      <c r="AU63" s="349"/>
      <c r="AV63" s="349"/>
    </row>
    <row r="64" spans="2:48" x14ac:dyDescent="0.25">
      <c r="B64" s="120" t="s">
        <v>346</v>
      </c>
      <c r="D64" t="s">
        <v>3</v>
      </c>
      <c r="E64" t="s">
        <v>27</v>
      </c>
      <c r="F64" s="23" t="str">
        <f t="shared" si="14"/>
        <v>SubtransmissionAugmentation</v>
      </c>
      <c r="G64" s="185">
        <v>15.046249808383235</v>
      </c>
      <c r="H64" s="171"/>
      <c r="I64" s="123" t="s">
        <v>294</v>
      </c>
      <c r="J64" s="165"/>
      <c r="K64" s="172">
        <f>G64*H64</f>
        <v>0</v>
      </c>
      <c r="L64" s="172">
        <f t="shared" si="15"/>
        <v>0</v>
      </c>
      <c r="M64" s="151"/>
      <c r="N64" s="182"/>
      <c r="O64" s="181"/>
      <c r="P64" s="293">
        <f>SUM(K64:O64)</f>
        <v>0</v>
      </c>
      <c r="Q64" s="152"/>
      <c r="R64" s="134">
        <v>0</v>
      </c>
      <c r="S64" s="134">
        <v>0</v>
      </c>
      <c r="T64" s="134">
        <v>0</v>
      </c>
      <c r="U64" s="134">
        <v>0</v>
      </c>
      <c r="V64" s="134">
        <v>0</v>
      </c>
      <c r="W64" s="134">
        <v>0</v>
      </c>
      <c r="X64" s="134">
        <v>0</v>
      </c>
      <c r="Y64" s="304">
        <f t="shared" si="17"/>
        <v>0</v>
      </c>
      <c r="AK64" s="349"/>
      <c r="AL64" s="349"/>
      <c r="AM64" s="349"/>
      <c r="AN64" s="349"/>
      <c r="AO64" s="355"/>
      <c r="AP64" s="355"/>
      <c r="AQ64" s="355"/>
      <c r="AR64" s="355"/>
      <c r="AS64" s="355"/>
      <c r="AT64" s="355"/>
      <c r="AU64" s="349"/>
      <c r="AV64" s="349"/>
    </row>
    <row r="65" spans="2:48" x14ac:dyDescent="0.25">
      <c r="B65" s="120" t="s">
        <v>300</v>
      </c>
      <c r="G65" s="169"/>
      <c r="H65" s="186"/>
      <c r="I65" s="167"/>
      <c r="K65" s="149"/>
      <c r="L65" s="149"/>
      <c r="M65" s="168"/>
      <c r="N65" s="182"/>
      <c r="O65" s="181"/>
      <c r="P65" s="293"/>
      <c r="Q65" s="152"/>
      <c r="R65" s="189"/>
      <c r="S65" s="189"/>
      <c r="T65" s="189"/>
      <c r="U65" s="189"/>
      <c r="V65" s="189"/>
      <c r="W65" s="189"/>
      <c r="X65" s="189"/>
      <c r="Y65" s="77"/>
      <c r="AK65" s="349"/>
      <c r="AL65" s="349"/>
      <c r="AM65" s="349"/>
      <c r="AN65" s="349"/>
      <c r="AO65" s="355"/>
      <c r="AP65" s="355"/>
      <c r="AQ65" s="355"/>
      <c r="AR65" s="355"/>
      <c r="AS65" s="355"/>
      <c r="AT65" s="355"/>
      <c r="AU65" s="349"/>
      <c r="AV65" s="349"/>
    </row>
    <row r="66" spans="2:48" x14ac:dyDescent="0.25">
      <c r="B66" s="84"/>
      <c r="C66" s="23" t="s">
        <v>345</v>
      </c>
      <c r="D66" t="s">
        <v>3</v>
      </c>
      <c r="E66" t="s">
        <v>27</v>
      </c>
      <c r="F66" s="23" t="str">
        <f t="shared" ref="F66:F71" si="19">D66&amp;E66</f>
        <v>SubtransmissionAugmentation</v>
      </c>
      <c r="G66" s="185">
        <v>0</v>
      </c>
      <c r="H66" s="171"/>
      <c r="I66" s="123" t="s">
        <v>294</v>
      </c>
      <c r="K66" s="172">
        <f>G66*H66</f>
        <v>0</v>
      </c>
      <c r="L66" s="172">
        <f t="shared" ref="L66:L71" si="20">SUMPRODUCT(R$5:X$5,R66:X66)/Thousands</f>
        <v>0</v>
      </c>
      <c r="M66" s="151"/>
      <c r="N66" s="182"/>
      <c r="O66" s="181"/>
      <c r="P66" s="293">
        <f t="shared" ref="P66:P71" si="21">SUM(K66:O66)</f>
        <v>0</v>
      </c>
      <c r="Q66" s="152"/>
      <c r="R66" s="134">
        <v>0</v>
      </c>
      <c r="S66" s="134">
        <v>0</v>
      </c>
      <c r="T66" s="134">
        <v>0</v>
      </c>
      <c r="U66" s="134">
        <v>0</v>
      </c>
      <c r="V66" s="134">
        <v>0</v>
      </c>
      <c r="W66" s="134">
        <v>0</v>
      </c>
      <c r="X66" s="134">
        <v>0</v>
      </c>
      <c r="Y66" s="304">
        <f t="shared" ref="Y66:Y71" si="22">SUM(R66:X66)</f>
        <v>0</v>
      </c>
      <c r="AK66" s="349"/>
      <c r="AL66" s="349"/>
      <c r="AM66" s="357"/>
      <c r="AN66" s="349"/>
      <c r="AO66" s="355"/>
      <c r="AP66" s="355"/>
      <c r="AQ66" s="355"/>
      <c r="AR66" s="355"/>
      <c r="AS66" s="355"/>
      <c r="AT66" s="355"/>
      <c r="AU66" s="349"/>
      <c r="AV66" s="349"/>
    </row>
    <row r="67" spans="2:48" x14ac:dyDescent="0.25">
      <c r="B67" s="84"/>
      <c r="C67" s="23" t="s">
        <v>344</v>
      </c>
      <c r="D67" t="s">
        <v>3</v>
      </c>
      <c r="E67" t="s">
        <v>27</v>
      </c>
      <c r="F67" s="23" t="str">
        <f t="shared" si="19"/>
        <v>SubtransmissionAugmentation</v>
      </c>
      <c r="G67" s="185">
        <v>0</v>
      </c>
      <c r="H67" s="171"/>
      <c r="I67" s="123" t="s">
        <v>294</v>
      </c>
      <c r="K67" s="172">
        <f>G67*H67</f>
        <v>0</v>
      </c>
      <c r="L67" s="172">
        <f t="shared" si="20"/>
        <v>0</v>
      </c>
      <c r="M67" s="151"/>
      <c r="N67" s="182"/>
      <c r="O67" s="181"/>
      <c r="P67" s="293">
        <f t="shared" si="21"/>
        <v>0</v>
      </c>
      <c r="Q67" s="152"/>
      <c r="R67" s="134">
        <v>0</v>
      </c>
      <c r="S67" s="134">
        <v>0</v>
      </c>
      <c r="T67" s="134">
        <v>0</v>
      </c>
      <c r="U67" s="134">
        <v>0</v>
      </c>
      <c r="V67" s="134">
        <v>0</v>
      </c>
      <c r="W67" s="134">
        <v>0</v>
      </c>
      <c r="X67" s="134">
        <v>0</v>
      </c>
      <c r="Y67" s="304">
        <f t="shared" si="22"/>
        <v>0</v>
      </c>
      <c r="AK67" s="349"/>
      <c r="AL67" s="349"/>
      <c r="AM67" s="349"/>
      <c r="AN67" s="349"/>
      <c r="AO67" s="349"/>
      <c r="AP67" s="349"/>
      <c r="AQ67" s="349"/>
      <c r="AR67" s="349"/>
      <c r="AS67" s="349"/>
      <c r="AT67" s="349"/>
      <c r="AU67" s="349"/>
      <c r="AV67" s="349"/>
    </row>
    <row r="68" spans="2:48" x14ac:dyDescent="0.25">
      <c r="B68" s="84"/>
      <c r="C68" s="23" t="s">
        <v>302</v>
      </c>
      <c r="D68" s="23" t="str">
        <f>Unit_Rates!G50</f>
        <v>Subtransmission</v>
      </c>
      <c r="E68" s="23" t="str">
        <f>Unit_Rates!H50</f>
        <v>Augmentation</v>
      </c>
      <c r="F68" s="23" t="str">
        <f t="shared" si="19"/>
        <v>SubtransmissionAugmentation</v>
      </c>
      <c r="G68" s="170">
        <f>Unit_Rates!$I$50</f>
        <v>131.39534883720927</v>
      </c>
      <c r="H68" s="171"/>
      <c r="I68" s="123" t="s">
        <v>294</v>
      </c>
      <c r="K68" s="172">
        <f>G68*H68</f>
        <v>0</v>
      </c>
      <c r="L68" s="172">
        <f t="shared" si="20"/>
        <v>0</v>
      </c>
      <c r="M68" s="151"/>
      <c r="N68" s="182">
        <f>$H68*INDEX(Unit_Rates!$C$7:$K$113,MATCH("Oil separator",Unit_Rates!$C$7:$C$113,0),8)</f>
        <v>0</v>
      </c>
      <c r="O68" s="182">
        <f>$H68*INDEX(Unit_Rates!$C$7:$K$113,MATCH("Oil separator",Unit_Rates!$C$7:$C$113,0),9)</f>
        <v>0</v>
      </c>
      <c r="P68" s="293">
        <f t="shared" si="21"/>
        <v>0</v>
      </c>
      <c r="Q68" s="314">
        <f>P68-H68*VLOOKUP("Oil separator",Unit_Rates!$C$7:$E$51,3,FALSE)</f>
        <v>0</v>
      </c>
      <c r="R68" s="134">
        <v>0</v>
      </c>
      <c r="S68" s="134">
        <v>0</v>
      </c>
      <c r="T68" s="134">
        <v>0</v>
      </c>
      <c r="U68" s="134">
        <v>0</v>
      </c>
      <c r="V68" s="134">
        <v>0</v>
      </c>
      <c r="W68" s="134">
        <v>0</v>
      </c>
      <c r="X68" s="134">
        <v>0</v>
      </c>
      <c r="Y68" s="304">
        <f t="shared" si="22"/>
        <v>0</v>
      </c>
      <c r="AK68" s="349"/>
      <c r="AL68" s="349"/>
      <c r="AM68" s="349"/>
      <c r="AN68" s="349"/>
      <c r="AO68" s="349"/>
      <c r="AP68" s="349"/>
      <c r="AQ68" s="349"/>
      <c r="AR68" s="349"/>
      <c r="AS68" s="349"/>
      <c r="AT68" s="349"/>
      <c r="AU68" s="349"/>
      <c r="AV68" s="349"/>
    </row>
    <row r="69" spans="2:48" x14ac:dyDescent="0.25">
      <c r="B69" s="84"/>
      <c r="C69" s="326" t="s">
        <v>303</v>
      </c>
      <c r="D69" t="s">
        <v>3</v>
      </c>
      <c r="E69" t="s">
        <v>27</v>
      </c>
      <c r="F69" s="23" t="str">
        <f t="shared" si="19"/>
        <v>SubtransmissionAugmentation</v>
      </c>
      <c r="G69" s="185">
        <v>0</v>
      </c>
      <c r="H69" s="171"/>
      <c r="I69" s="123" t="s">
        <v>294</v>
      </c>
      <c r="K69" s="172">
        <f>G69*H69</f>
        <v>0</v>
      </c>
      <c r="L69" s="172">
        <f t="shared" si="20"/>
        <v>0</v>
      </c>
      <c r="M69" s="151"/>
      <c r="N69" s="182">
        <v>0</v>
      </c>
      <c r="O69" s="181"/>
      <c r="P69" s="293">
        <f t="shared" si="21"/>
        <v>0</v>
      </c>
      <c r="Q69" s="152"/>
      <c r="R69" s="134">
        <v>0</v>
      </c>
      <c r="S69" s="134">
        <v>0</v>
      </c>
      <c r="T69" s="134">
        <v>0</v>
      </c>
      <c r="U69" s="134">
        <v>0</v>
      </c>
      <c r="V69" s="134">
        <v>0</v>
      </c>
      <c r="W69" s="134">
        <v>0</v>
      </c>
      <c r="X69" s="134">
        <v>0</v>
      </c>
      <c r="Y69" s="304">
        <f t="shared" si="22"/>
        <v>0</v>
      </c>
      <c r="AK69" s="349"/>
      <c r="AL69" s="349"/>
      <c r="AM69" s="349"/>
      <c r="AN69" s="349"/>
      <c r="AO69" s="349"/>
      <c r="AP69" s="349"/>
      <c r="AQ69" s="349"/>
      <c r="AR69" s="349"/>
      <c r="AS69" s="349"/>
      <c r="AT69" s="349"/>
      <c r="AU69" s="349"/>
      <c r="AV69" s="349"/>
    </row>
    <row r="70" spans="2:48" x14ac:dyDescent="0.25">
      <c r="B70" s="120" t="s">
        <v>304</v>
      </c>
      <c r="C70" s="326"/>
      <c r="D70" t="s">
        <v>3</v>
      </c>
      <c r="E70" t="s">
        <v>27</v>
      </c>
      <c r="F70" s="23" t="str">
        <f t="shared" si="19"/>
        <v>SubtransmissionAugmentation</v>
      </c>
      <c r="G70" s="170">
        <v>0</v>
      </c>
      <c r="H70" s="171"/>
      <c r="I70" s="123" t="s">
        <v>294</v>
      </c>
      <c r="K70" s="172">
        <f>G70*H70</f>
        <v>0</v>
      </c>
      <c r="L70" s="212">
        <f t="shared" si="20"/>
        <v>0</v>
      </c>
      <c r="M70" s="188"/>
      <c r="N70" s="182"/>
      <c r="O70" s="170"/>
      <c r="P70" s="293">
        <f t="shared" si="21"/>
        <v>0</v>
      </c>
      <c r="Q70" s="152"/>
      <c r="R70" s="189"/>
      <c r="S70" s="189"/>
      <c r="T70" s="189"/>
      <c r="U70" s="189"/>
      <c r="V70" s="189"/>
      <c r="W70" s="189"/>
      <c r="X70" s="189"/>
      <c r="Y70" s="77"/>
      <c r="AK70" s="349"/>
      <c r="AL70" s="349"/>
      <c r="AM70" s="349"/>
      <c r="AN70" s="349"/>
      <c r="AO70" s="349"/>
      <c r="AP70" s="349"/>
      <c r="AQ70" s="349"/>
      <c r="AR70" s="349"/>
      <c r="AS70" s="349"/>
      <c r="AT70" s="349"/>
      <c r="AU70" s="349"/>
      <c r="AV70" s="349"/>
    </row>
    <row r="71" spans="2:48" x14ac:dyDescent="0.25">
      <c r="B71" s="120" t="s">
        <v>305</v>
      </c>
      <c r="D71" t="s">
        <v>4</v>
      </c>
      <c r="E71" t="s">
        <v>29</v>
      </c>
      <c r="F71" s="23" t="str">
        <f t="shared" si="19"/>
        <v>LandNon-Network</v>
      </c>
      <c r="G71" s="170">
        <v>0</v>
      </c>
      <c r="H71" s="171"/>
      <c r="I71" s="123" t="s">
        <v>294</v>
      </c>
      <c r="K71" s="212">
        <v>0</v>
      </c>
      <c r="L71" s="212">
        <f t="shared" si="20"/>
        <v>0</v>
      </c>
      <c r="M71" s="188"/>
      <c r="N71" s="182"/>
      <c r="O71" s="170"/>
      <c r="P71" s="293">
        <f t="shared" si="21"/>
        <v>0</v>
      </c>
      <c r="Q71" s="152"/>
      <c r="R71" s="134">
        <v>0</v>
      </c>
      <c r="S71" s="134">
        <v>0</v>
      </c>
      <c r="T71" s="134">
        <v>0</v>
      </c>
      <c r="U71" s="134">
        <v>0</v>
      </c>
      <c r="V71" s="134">
        <v>0</v>
      </c>
      <c r="W71" s="134">
        <v>0</v>
      </c>
      <c r="X71" s="134">
        <v>0</v>
      </c>
      <c r="Y71" s="304">
        <f t="shared" si="22"/>
        <v>0</v>
      </c>
      <c r="AK71" s="349"/>
      <c r="AL71" s="354"/>
      <c r="AM71" s="349"/>
      <c r="AN71" s="349"/>
      <c r="AO71" s="349"/>
      <c r="AP71" s="349"/>
      <c r="AQ71" s="349"/>
      <c r="AR71" s="349"/>
      <c r="AS71" s="349"/>
      <c r="AT71" s="349"/>
      <c r="AU71" s="349"/>
      <c r="AV71" s="349"/>
    </row>
    <row r="72" spans="2:48" x14ac:dyDescent="0.25">
      <c r="B72" s="84"/>
      <c r="G72" s="169"/>
      <c r="H72" s="84"/>
      <c r="I72" s="167"/>
      <c r="K72" s="191"/>
      <c r="L72" s="191"/>
      <c r="M72" s="192"/>
      <c r="N72" s="211"/>
      <c r="O72" s="211"/>
      <c r="P72" s="211"/>
      <c r="X72" s="108"/>
      <c r="AK72" s="349"/>
      <c r="AL72" s="349"/>
      <c r="AM72" s="349"/>
      <c r="AN72" s="349"/>
      <c r="AO72" s="349"/>
      <c r="AP72" s="349"/>
      <c r="AQ72" s="349"/>
      <c r="AR72" s="349"/>
      <c r="AS72" s="349"/>
      <c r="AT72" s="349"/>
      <c r="AU72" s="349"/>
      <c r="AV72" s="349"/>
    </row>
    <row r="73" spans="2:48" x14ac:dyDescent="0.25">
      <c r="B73" s="120" t="s">
        <v>306</v>
      </c>
      <c r="G73" s="169"/>
      <c r="H73" s="84"/>
      <c r="I73" s="167"/>
      <c r="K73" s="343">
        <f t="shared" ref="K73:P73" si="23">SUM(K6:K71)</f>
        <v>0</v>
      </c>
      <c r="L73" s="343">
        <f t="shared" si="23"/>
        <v>0</v>
      </c>
      <c r="M73" s="344">
        <f t="shared" si="23"/>
        <v>0</v>
      </c>
      <c r="N73" s="344">
        <f t="shared" si="23"/>
        <v>0</v>
      </c>
      <c r="O73" s="344">
        <f t="shared" si="23"/>
        <v>0</v>
      </c>
      <c r="P73" s="344">
        <f t="shared" si="23"/>
        <v>0</v>
      </c>
      <c r="Q73" s="278">
        <f>SUM(P17:P69)</f>
        <v>0</v>
      </c>
      <c r="X73" s="108"/>
      <c r="AK73" s="349"/>
      <c r="AL73" s="349"/>
      <c r="AM73" s="349"/>
      <c r="AN73" s="349"/>
      <c r="AO73" s="355"/>
      <c r="AP73" s="355"/>
      <c r="AQ73" s="355"/>
      <c r="AR73" s="355"/>
      <c r="AS73" s="355"/>
      <c r="AT73" s="355"/>
      <c r="AU73" s="349"/>
      <c r="AV73" s="349"/>
    </row>
    <row r="74" spans="2:48" x14ac:dyDescent="0.25">
      <c r="B74" s="195" t="s">
        <v>307</v>
      </c>
      <c r="C74" s="327"/>
      <c r="D74" s="102"/>
      <c r="E74" s="102"/>
      <c r="F74" s="102"/>
      <c r="G74" s="196"/>
      <c r="H74" s="195"/>
      <c r="I74" s="196"/>
      <c r="J74" s="102"/>
      <c r="K74" s="197">
        <v>0</v>
      </c>
      <c r="L74" s="198">
        <v>0</v>
      </c>
      <c r="M74" s="198">
        <v>0</v>
      </c>
      <c r="N74" s="438">
        <v>0</v>
      </c>
      <c r="O74" s="438">
        <v>0</v>
      </c>
      <c r="P74" s="439">
        <v>0</v>
      </c>
      <c r="X74" s="108"/>
      <c r="AK74" s="349"/>
      <c r="AL74" s="349"/>
      <c r="AM74" s="349"/>
      <c r="AN74" s="349"/>
      <c r="AO74" s="355"/>
      <c r="AP74" s="355"/>
      <c r="AQ74" s="355"/>
      <c r="AR74" s="355"/>
      <c r="AS74" s="355"/>
      <c r="AT74" s="355"/>
      <c r="AU74" s="349"/>
      <c r="AV74" s="349"/>
    </row>
    <row r="75" spans="2:48" ht="30" x14ac:dyDescent="0.25">
      <c r="B75" s="143" t="s">
        <v>308</v>
      </c>
      <c r="C75" s="324"/>
      <c r="D75" s="117"/>
      <c r="E75" s="117"/>
      <c r="F75" s="117"/>
      <c r="G75" s="200" t="s">
        <v>309</v>
      </c>
      <c r="H75" s="381" t="s">
        <v>279</v>
      </c>
      <c r="I75" s="67" t="s">
        <v>280</v>
      </c>
      <c r="J75" s="102"/>
      <c r="K75" s="67" t="s">
        <v>21</v>
      </c>
      <c r="L75" s="67" t="s">
        <v>22</v>
      </c>
      <c r="M75" s="202" t="s">
        <v>23</v>
      </c>
      <c r="N75" s="440" t="s">
        <v>24</v>
      </c>
      <c r="O75" s="412" t="s">
        <v>25</v>
      </c>
      <c r="P75" s="412" t="s">
        <v>26</v>
      </c>
      <c r="X75" s="108"/>
      <c r="AK75" s="349"/>
      <c r="AL75" s="349"/>
      <c r="AM75" s="349"/>
      <c r="AN75" s="349"/>
      <c r="AO75" s="355"/>
      <c r="AP75" s="355"/>
      <c r="AQ75" s="355"/>
      <c r="AR75" s="355"/>
      <c r="AS75" s="355"/>
      <c r="AT75" s="355"/>
      <c r="AU75" s="349"/>
      <c r="AV75" s="349"/>
    </row>
    <row r="76" spans="2:48" x14ac:dyDescent="0.25">
      <c r="B76" s="120"/>
      <c r="C76" s="305"/>
      <c r="G76" s="167"/>
      <c r="H76" s="84"/>
      <c r="I76" s="167"/>
      <c r="K76" s="203"/>
      <c r="L76" s="203"/>
      <c r="M76" s="204"/>
      <c r="N76" s="441"/>
      <c r="O76" s="441"/>
      <c r="P76" s="371"/>
      <c r="X76" s="108"/>
      <c r="AK76" s="349"/>
      <c r="AL76" s="349"/>
      <c r="AM76" s="349"/>
      <c r="AN76" s="349"/>
      <c r="AO76" s="355"/>
      <c r="AP76" s="355"/>
      <c r="AQ76" s="355"/>
      <c r="AR76" s="355"/>
      <c r="AS76" s="355"/>
      <c r="AT76" s="355"/>
      <c r="AU76" s="349"/>
      <c r="AV76" s="349"/>
    </row>
    <row r="77" spans="2:48" x14ac:dyDescent="0.25">
      <c r="B77" s="312" t="s">
        <v>396</v>
      </c>
      <c r="G77" s="167"/>
      <c r="H77" s="84"/>
      <c r="I77" s="167"/>
      <c r="K77" s="203"/>
      <c r="L77" s="203"/>
      <c r="M77" s="204"/>
      <c r="N77" s="441"/>
      <c r="O77" s="441"/>
      <c r="P77" s="371"/>
      <c r="X77" s="108"/>
      <c r="Y77" s="77"/>
      <c r="AK77" s="349"/>
      <c r="AL77" s="349"/>
      <c r="AM77" s="349"/>
      <c r="AN77" s="349"/>
      <c r="AO77" s="349"/>
      <c r="AP77" s="349"/>
      <c r="AQ77" s="349"/>
      <c r="AR77" s="349"/>
      <c r="AS77" s="349"/>
      <c r="AT77" s="349"/>
      <c r="AU77" s="349"/>
      <c r="AV77" s="349"/>
    </row>
    <row r="78" spans="2:48" x14ac:dyDescent="0.25">
      <c r="B78" s="333" t="s">
        <v>401</v>
      </c>
      <c r="G78" s="167"/>
      <c r="H78" s="84"/>
      <c r="I78" s="167"/>
      <c r="K78" s="203"/>
      <c r="L78" s="203"/>
      <c r="M78" s="204"/>
      <c r="N78" s="441"/>
      <c r="O78" s="441"/>
      <c r="P78" s="371"/>
      <c r="X78" s="108"/>
      <c r="Y78" s="77"/>
      <c r="AK78" s="349"/>
      <c r="AL78" s="349"/>
      <c r="AM78" s="349"/>
      <c r="AN78" s="349"/>
      <c r="AO78" s="349"/>
      <c r="AP78" s="349"/>
      <c r="AQ78" s="349"/>
      <c r="AR78" s="349"/>
      <c r="AS78" s="349"/>
      <c r="AT78" s="349"/>
      <c r="AU78" s="349"/>
      <c r="AV78" s="349"/>
    </row>
    <row r="79" spans="2:48" x14ac:dyDescent="0.25">
      <c r="B79" s="315"/>
      <c r="C79" s="305" t="s">
        <v>387</v>
      </c>
      <c r="D79" s="23" t="str">
        <f>INDEX(Unit_Rates!$C$7:$K$113,MATCH($C79,Unit_Rates!$C$7:$C$113,0),5)</f>
        <v>Subtransmission</v>
      </c>
      <c r="E79" s="23" t="str">
        <f>INDEX(Unit_Rates!$C$7:$K$113,MATCH($C79,Unit_Rates!$C$7:$C$113,0),6)</f>
        <v>Augmentation</v>
      </c>
      <c r="F79" s="23" t="str">
        <f t="shared" ref="F79:F84" si="24">D79&amp;E79</f>
        <v>SubtransmissionAugmentation</v>
      </c>
      <c r="G79" s="170">
        <f>INDEX(Unit_Rates!$C$7:$K$113,MATCH($C79,Unit_Rates!$C$7:$C$113,0),7)</f>
        <v>5.4307692307692301</v>
      </c>
      <c r="H79" s="350"/>
      <c r="I79" s="308" t="s">
        <v>294</v>
      </c>
      <c r="J79" s="108"/>
      <c r="K79" s="170">
        <f>G79*H79</f>
        <v>0</v>
      </c>
      <c r="L79" s="170">
        <f t="shared" ref="L79:L85" si="25">SUMPRODUCT(R$5:X$5,R79:X79)/Thousands</f>
        <v>0</v>
      </c>
      <c r="M79" s="170"/>
      <c r="N79" s="170">
        <f>$H79*INDEX(Unit_Rates!$C$7:$K$113,MATCH($C79,Unit_Rates!$C$7:$C$113,0),8)</f>
        <v>0</v>
      </c>
      <c r="O79" s="170">
        <f>$H79*INDEX(Unit_Rates!$C$7:$K$113,MATCH($C79,Unit_Rates!$C$7:$C$113,0),9)</f>
        <v>0</v>
      </c>
      <c r="P79" s="170">
        <f t="shared" ref="P79:P85" si="26">SUM(K79:O79)</f>
        <v>0</v>
      </c>
      <c r="Q79" s="314">
        <f>P79-H79*VLOOKUP(C79,Unit_Rates!$C$7:$E$113,3,FALSE)</f>
        <v>0</v>
      </c>
      <c r="R79" s="134">
        <v>0</v>
      </c>
      <c r="S79" s="134">
        <v>0</v>
      </c>
      <c r="T79" s="134">
        <v>0</v>
      </c>
      <c r="U79" s="134">
        <v>0</v>
      </c>
      <c r="V79" s="134">
        <v>0</v>
      </c>
      <c r="W79" s="134">
        <v>0</v>
      </c>
      <c r="X79" s="134">
        <v>0</v>
      </c>
      <c r="Y79" s="304">
        <f t="shared" ref="Y79:Y93" si="27">SUM(R79:X79)</f>
        <v>0</v>
      </c>
      <c r="Z79" s="6"/>
      <c r="AA79" s="6"/>
      <c r="AB79" s="6"/>
      <c r="AC79" s="6"/>
      <c r="AD79" s="6"/>
      <c r="AE79" s="6"/>
      <c r="AF79" s="6"/>
      <c r="AG79" s="8"/>
      <c r="AI79" s="96"/>
      <c r="AK79" s="349"/>
      <c r="AL79" s="354"/>
      <c r="AM79" s="349"/>
      <c r="AN79" s="349"/>
      <c r="AO79" s="349"/>
      <c r="AP79" s="349"/>
      <c r="AQ79" s="349"/>
      <c r="AR79" s="349"/>
      <c r="AS79" s="349"/>
      <c r="AT79" s="349"/>
      <c r="AU79" s="349"/>
      <c r="AV79" s="349"/>
    </row>
    <row r="80" spans="2:48" x14ac:dyDescent="0.25">
      <c r="B80" s="315"/>
      <c r="C80" s="23" t="s">
        <v>372</v>
      </c>
      <c r="D80" s="23" t="str">
        <f>INDEX(Unit_Rates!$C$7:$K$113,MATCH($C80,Unit_Rates!$C$7:$C$113,0),5)</f>
        <v>Subtransmission</v>
      </c>
      <c r="E80" s="23" t="str">
        <f>INDEX(Unit_Rates!$C$7:$K$113,MATCH($C80,Unit_Rates!$C$7:$C$113,0),6)</f>
        <v>Augmentation</v>
      </c>
      <c r="F80" s="23" t="str">
        <f t="shared" si="24"/>
        <v>SubtransmissionAugmentation</v>
      </c>
      <c r="G80" s="170">
        <f>INDEX(Unit_Rates!$C$7:$K$113,MATCH($C80,Unit_Rates!$C$7:$C$113,0),7)</f>
        <v>0.40306153846153847</v>
      </c>
      <c r="H80" s="350"/>
      <c r="I80" s="308" t="s">
        <v>294</v>
      </c>
      <c r="J80" s="108"/>
      <c r="K80" s="170">
        <f>G80*H80</f>
        <v>0</v>
      </c>
      <c r="L80" s="170">
        <f t="shared" si="25"/>
        <v>0</v>
      </c>
      <c r="M80" s="170"/>
      <c r="N80" s="170">
        <f>$H80*INDEX(Unit_Rates!$C$7:$K$113,MATCH($C80,Unit_Rates!$C$7:$C$113,0),8)</f>
        <v>0</v>
      </c>
      <c r="O80" s="170">
        <f>$H80*INDEX(Unit_Rates!$C$7:$K$113,MATCH($C80,Unit_Rates!$C$7:$C$113,0),9)</f>
        <v>0</v>
      </c>
      <c r="P80" s="170">
        <f t="shared" si="26"/>
        <v>0</v>
      </c>
      <c r="Q80" s="314">
        <f>P80-H80*VLOOKUP(C80,Unit_Rates!$C$7:$E$113,3,FALSE)</f>
        <v>0</v>
      </c>
      <c r="R80" s="134">
        <v>0</v>
      </c>
      <c r="S80" s="134">
        <v>0</v>
      </c>
      <c r="T80" s="134">
        <v>0</v>
      </c>
      <c r="U80" s="134">
        <v>0</v>
      </c>
      <c r="V80" s="134">
        <v>0</v>
      </c>
      <c r="W80" s="134">
        <v>0</v>
      </c>
      <c r="X80" s="134">
        <v>0</v>
      </c>
      <c r="Y80" s="304">
        <f t="shared" si="27"/>
        <v>0</v>
      </c>
      <c r="Z80" s="6"/>
      <c r="AA80" s="6"/>
      <c r="AB80" s="6"/>
      <c r="AC80" s="6"/>
      <c r="AD80" s="6"/>
      <c r="AE80" s="6"/>
      <c r="AF80" s="6"/>
      <c r="AG80" s="8"/>
      <c r="AI80" s="96"/>
      <c r="AK80" s="349"/>
      <c r="AL80" s="349"/>
      <c r="AM80" s="349"/>
      <c r="AN80" s="349"/>
      <c r="AO80" s="349"/>
      <c r="AP80" s="349"/>
      <c r="AQ80" s="349"/>
      <c r="AR80" s="349"/>
      <c r="AS80" s="349"/>
      <c r="AT80" s="349"/>
      <c r="AU80" s="349"/>
      <c r="AV80" s="349"/>
    </row>
    <row r="81" spans="2:48" x14ac:dyDescent="0.25">
      <c r="B81" s="315"/>
      <c r="C81" s="329" t="s">
        <v>365</v>
      </c>
      <c r="D81" s="23" t="str">
        <f>INDEX(Unit_Rates!$C$7:$K$113,MATCH($C81,Unit_Rates!$C$7:$C$113,0),5)</f>
        <v>Subtransmission</v>
      </c>
      <c r="E81" s="23" t="str">
        <f>INDEX(Unit_Rates!$C$7:$K$113,MATCH($C81,Unit_Rates!$C$7:$C$113,0),6)</f>
        <v>Augmentation</v>
      </c>
      <c r="F81" s="23" t="str">
        <f>D81&amp;E81</f>
        <v>SubtransmissionAugmentation</v>
      </c>
      <c r="G81" s="170">
        <f>INDEX(Unit_Rates!$C$7:$K$113,MATCH($C81,Unit_Rates!$C$7:$C$113,0),7)</f>
        <v>15.18</v>
      </c>
      <c r="H81" s="350"/>
      <c r="I81" s="123" t="s">
        <v>362</v>
      </c>
      <c r="J81" s="108"/>
      <c r="K81" s="170">
        <f>G81*H81</f>
        <v>0</v>
      </c>
      <c r="L81" s="170">
        <f>SUMPRODUCT(R$5:X$5,R81:X81)/Thousands</f>
        <v>0</v>
      </c>
      <c r="M81" s="170"/>
      <c r="N81" s="170">
        <f>$H81*INDEX(Unit_Rates!$C$7:$K$113,MATCH($C81,Unit_Rates!$C$7:$C$113,0),8)</f>
        <v>0</v>
      </c>
      <c r="O81" s="170">
        <f>$H81*INDEX(Unit_Rates!$C$7:$K$113,MATCH($C81,Unit_Rates!$C$7:$C$113,0),9)</f>
        <v>0</v>
      </c>
      <c r="P81" s="170">
        <f>SUM(K81:O81)</f>
        <v>0</v>
      </c>
      <c r="Q81" s="314">
        <f>P81-H81*VLOOKUP(C81,Unit_Rates!$C$7:$E$113,3,FALSE)</f>
        <v>0</v>
      </c>
      <c r="R81" s="134">
        <v>0</v>
      </c>
      <c r="S81" s="134">
        <v>0</v>
      </c>
      <c r="T81" s="134">
        <v>0</v>
      </c>
      <c r="U81" s="134">
        <v>0</v>
      </c>
      <c r="V81" s="134">
        <v>0</v>
      </c>
      <c r="W81" s="134">
        <v>0</v>
      </c>
      <c r="X81" s="134">
        <v>0</v>
      </c>
      <c r="Y81" s="304">
        <f>SUM(R81:X81)</f>
        <v>0</v>
      </c>
      <c r="Z81" s="6"/>
      <c r="AA81" s="6"/>
      <c r="AB81" s="6"/>
      <c r="AC81" s="6"/>
      <c r="AD81" s="6"/>
      <c r="AE81" s="6"/>
      <c r="AF81" s="6"/>
      <c r="AG81" s="8"/>
      <c r="AI81" s="96"/>
      <c r="AK81" s="349"/>
      <c r="AL81" s="349"/>
      <c r="AM81" s="349"/>
      <c r="AN81" s="349"/>
      <c r="AO81" s="349"/>
      <c r="AP81" s="349"/>
      <c r="AQ81" s="349"/>
      <c r="AR81" s="349"/>
      <c r="AS81" s="349"/>
      <c r="AT81" s="349"/>
      <c r="AU81" s="349"/>
      <c r="AV81" s="349"/>
    </row>
    <row r="82" spans="2:48" x14ac:dyDescent="0.25">
      <c r="B82" s="315"/>
      <c r="C82" s="23" t="s">
        <v>377</v>
      </c>
      <c r="D82" s="23" t="str">
        <f>INDEX(Unit_Rates!$C$7:$K$113,MATCH($C82,Unit_Rates!$C$7:$C$113,0),5)</f>
        <v>Distribution system assets</v>
      </c>
      <c r="E82" s="23" t="str">
        <f>INDEX(Unit_Rates!$C$7:$K$113,MATCH($C82,Unit_Rates!$C$7:$C$113,0),6)</f>
        <v>Augmentation</v>
      </c>
      <c r="F82" s="23" t="str">
        <f t="shared" si="24"/>
        <v>Distribution system assetsAugmentation</v>
      </c>
      <c r="G82" s="170">
        <f>INDEX(Unit_Rates!$C$7:$K$113,MATCH($C82,Unit_Rates!$C$7:$C$113,0),7)</f>
        <v>0.43615384615384611</v>
      </c>
      <c r="H82" s="350"/>
      <c r="I82" s="308" t="s">
        <v>294</v>
      </c>
      <c r="J82" s="108"/>
      <c r="K82" s="170">
        <f t="shared" ref="K82:K85" si="28">G82*H82</f>
        <v>0</v>
      </c>
      <c r="L82" s="170">
        <f t="shared" si="25"/>
        <v>0</v>
      </c>
      <c r="M82" s="170"/>
      <c r="N82" s="170">
        <f>$H82*INDEX(Unit_Rates!$C$7:$K$113,MATCH($C82,Unit_Rates!$C$7:$C$113,0),8)</f>
        <v>0</v>
      </c>
      <c r="O82" s="170">
        <f>$H82*INDEX(Unit_Rates!$C$7:$K$113,MATCH($C82,Unit_Rates!$C$7:$C$113,0),9)</f>
        <v>0</v>
      </c>
      <c r="P82" s="170">
        <f t="shared" si="26"/>
        <v>0</v>
      </c>
      <c r="Q82" s="314">
        <f>P82-H82*VLOOKUP(C82,Unit_Rates!$C$7:$E$113,3,FALSE)</f>
        <v>0</v>
      </c>
      <c r="R82" s="134">
        <v>0</v>
      </c>
      <c r="S82" s="134">
        <v>0</v>
      </c>
      <c r="T82" s="134">
        <v>0</v>
      </c>
      <c r="U82" s="134">
        <v>0</v>
      </c>
      <c r="V82" s="134">
        <v>0</v>
      </c>
      <c r="W82" s="134">
        <v>0</v>
      </c>
      <c r="X82" s="134">
        <v>0</v>
      </c>
      <c r="Y82" s="304">
        <f t="shared" si="27"/>
        <v>0</v>
      </c>
      <c r="Z82" s="6"/>
      <c r="AA82" s="6"/>
      <c r="AB82" s="6"/>
      <c r="AC82" s="6"/>
      <c r="AD82" s="6"/>
      <c r="AE82" s="6"/>
      <c r="AF82" s="6"/>
      <c r="AG82" s="8"/>
      <c r="AI82" s="96"/>
      <c r="AK82" s="349"/>
      <c r="AL82" s="349"/>
      <c r="AM82" s="349"/>
      <c r="AN82" s="349"/>
      <c r="AO82" s="349"/>
      <c r="AP82" s="349"/>
      <c r="AQ82" s="349"/>
      <c r="AR82" s="349"/>
      <c r="AS82" s="349"/>
      <c r="AT82" s="349"/>
      <c r="AU82" s="349"/>
      <c r="AV82" s="349"/>
    </row>
    <row r="83" spans="2:48" x14ac:dyDescent="0.25">
      <c r="B83" s="315"/>
      <c r="C83" s="305" t="s">
        <v>366</v>
      </c>
      <c r="D83" s="23" t="str">
        <f>INDEX(Unit_Rates!$C$7:$K$113,MATCH($C83,Unit_Rates!$C$7:$C$113,0),5)</f>
        <v>Distribution system assets</v>
      </c>
      <c r="E83" s="23" t="str">
        <f>INDEX(Unit_Rates!$C$7:$K$113,MATCH($C83,Unit_Rates!$C$7:$C$113,0),6)</f>
        <v>Augmentation</v>
      </c>
      <c r="F83" s="23" t="str">
        <f>D83&amp;E83</f>
        <v>Distribution system assetsAugmentation</v>
      </c>
      <c r="G83" s="170">
        <f>INDEX(Unit_Rates!$C$7:$K$113,MATCH($C83,Unit_Rates!$C$7:$C$113,0),7)</f>
        <v>6.7847700000000009</v>
      </c>
      <c r="H83" s="350"/>
      <c r="I83" s="123" t="s">
        <v>362</v>
      </c>
      <c r="J83" s="108"/>
      <c r="K83" s="170">
        <f>G83*H83</f>
        <v>0</v>
      </c>
      <c r="L83" s="170">
        <f>SUMPRODUCT(R$5:X$5,R83:X83)/Thousands</f>
        <v>0</v>
      </c>
      <c r="M83" s="170"/>
      <c r="N83" s="170">
        <f>$H83*INDEX(Unit_Rates!$C$7:$K$113,MATCH($C83,Unit_Rates!$C$7:$C$113,0),8)</f>
        <v>0</v>
      </c>
      <c r="O83" s="170">
        <f>$H83*INDEX(Unit_Rates!$C$7:$K$113,MATCH($C83,Unit_Rates!$C$7:$C$113,0),9)</f>
        <v>0</v>
      </c>
      <c r="P83" s="170">
        <f>SUM(K83:O83)</f>
        <v>0</v>
      </c>
      <c r="Q83" s="314">
        <f>P83-H83*VLOOKUP(C83,Unit_Rates!$C$7:$E$113,3,FALSE)</f>
        <v>0</v>
      </c>
      <c r="R83" s="134">
        <v>0</v>
      </c>
      <c r="S83" s="134">
        <v>0</v>
      </c>
      <c r="T83" s="134">
        <v>0</v>
      </c>
      <c r="U83" s="134">
        <v>0</v>
      </c>
      <c r="V83" s="134">
        <v>0</v>
      </c>
      <c r="W83" s="134">
        <v>0</v>
      </c>
      <c r="X83" s="134">
        <v>0</v>
      </c>
      <c r="Y83" s="304">
        <f>SUM(R83:X83)</f>
        <v>0</v>
      </c>
      <c r="Z83" s="6"/>
      <c r="AA83" s="6"/>
      <c r="AB83" s="6"/>
      <c r="AC83" s="6"/>
      <c r="AD83" s="6"/>
      <c r="AE83" s="6"/>
      <c r="AF83" s="6"/>
      <c r="AG83" s="8"/>
      <c r="AI83" s="97"/>
      <c r="AK83" s="349"/>
      <c r="AL83" s="349"/>
      <c r="AM83" s="349"/>
      <c r="AN83" s="349"/>
      <c r="AO83" s="349"/>
      <c r="AP83" s="349"/>
      <c r="AQ83" s="349"/>
      <c r="AR83" s="349"/>
      <c r="AS83" s="349"/>
      <c r="AT83" s="349"/>
      <c r="AU83" s="349"/>
      <c r="AV83" s="349"/>
    </row>
    <row r="84" spans="2:48" x14ac:dyDescent="0.25">
      <c r="B84" s="315"/>
      <c r="C84" s="305" t="s">
        <v>363</v>
      </c>
      <c r="D84" s="23" t="str">
        <f>INDEX(Unit_Rates!$C$7:$K$113,MATCH($C84,Unit_Rates!$C$7:$C$113,0),5)</f>
        <v>Subtransmission</v>
      </c>
      <c r="E84" s="23" t="str">
        <f>INDEX(Unit_Rates!$C$7:$K$113,MATCH($C84,Unit_Rates!$C$7:$C$113,0),6)</f>
        <v>Augmentation</v>
      </c>
      <c r="F84" s="23" t="str">
        <f t="shared" si="24"/>
        <v>SubtransmissionAugmentation</v>
      </c>
      <c r="G84" s="170">
        <f>INDEX(Unit_Rates!$C$7:$K$113,MATCH($C84,Unit_Rates!$C$7:$C$113,0),7)</f>
        <v>0.24562</v>
      </c>
      <c r="H84" s="350"/>
      <c r="I84" s="308" t="s">
        <v>294</v>
      </c>
      <c r="J84" s="108"/>
      <c r="K84" s="170">
        <f t="shared" si="28"/>
        <v>0</v>
      </c>
      <c r="L84" s="170">
        <f t="shared" si="25"/>
        <v>0</v>
      </c>
      <c r="M84" s="170"/>
      <c r="N84" s="170">
        <f>$H84*INDEX(Unit_Rates!$C$7:$K$113,MATCH($C84,Unit_Rates!$C$7:$C$113,0),8)</f>
        <v>0</v>
      </c>
      <c r="O84" s="170">
        <f>$H84*INDEX(Unit_Rates!$C$7:$K$113,MATCH($C84,Unit_Rates!$C$7:$C$113,0),9)</f>
        <v>0</v>
      </c>
      <c r="P84" s="170">
        <f t="shared" si="26"/>
        <v>0</v>
      </c>
      <c r="Q84" s="314">
        <f>P84-H84*VLOOKUP(C84,Unit_Rates!$C$7:$E$113,3,FALSE)</f>
        <v>0</v>
      </c>
      <c r="R84" s="134">
        <v>0</v>
      </c>
      <c r="S84" s="134">
        <v>0</v>
      </c>
      <c r="T84" s="134">
        <v>0</v>
      </c>
      <c r="U84" s="134">
        <v>0</v>
      </c>
      <c r="V84" s="134">
        <v>0</v>
      </c>
      <c r="W84" s="134">
        <v>0</v>
      </c>
      <c r="X84" s="134">
        <v>0</v>
      </c>
      <c r="Y84" s="304">
        <f t="shared" si="27"/>
        <v>0</v>
      </c>
      <c r="Z84" s="6"/>
      <c r="AA84" s="6"/>
      <c r="AB84" s="6"/>
      <c r="AC84" s="6"/>
      <c r="AD84" s="6"/>
      <c r="AE84" s="6"/>
      <c r="AF84" s="6"/>
      <c r="AG84" s="8"/>
      <c r="AI84" s="97"/>
      <c r="AK84" s="349"/>
      <c r="AL84" s="349"/>
      <c r="AM84" s="349"/>
      <c r="AN84" s="349"/>
      <c r="AO84" s="349"/>
      <c r="AP84" s="349"/>
      <c r="AQ84" s="349"/>
      <c r="AR84" s="349"/>
      <c r="AS84" s="349"/>
      <c r="AT84" s="349"/>
      <c r="AU84" s="349"/>
      <c r="AV84" s="349"/>
    </row>
    <row r="85" spans="2:48" x14ac:dyDescent="0.25">
      <c r="B85" s="315"/>
      <c r="C85" s="305" t="s">
        <v>364</v>
      </c>
      <c r="D85" t="s">
        <v>3</v>
      </c>
      <c r="E85" t="s">
        <v>27</v>
      </c>
      <c r="F85" t="s">
        <v>30</v>
      </c>
      <c r="G85" s="170">
        <f>INDEX(Unit_Rates!$C$7:$K$113,MATCH($C85,Unit_Rates!$C$7:$C$113,0),7)</f>
        <v>0</v>
      </c>
      <c r="H85" s="350"/>
      <c r="I85" s="308" t="s">
        <v>362</v>
      </c>
      <c r="J85" s="108"/>
      <c r="K85" s="170">
        <f t="shared" si="28"/>
        <v>0</v>
      </c>
      <c r="L85" s="170">
        <f t="shared" si="25"/>
        <v>0</v>
      </c>
      <c r="M85" s="170"/>
      <c r="N85" s="170">
        <f>$H85*INDEX(Unit_Rates!$C$7:$K$113,MATCH($C85,Unit_Rates!$C$7:$C$113,0),8)</f>
        <v>0</v>
      </c>
      <c r="O85" s="170">
        <f>$H85*INDEX(Unit_Rates!$C$7:$K$113,MATCH($C85,Unit_Rates!$C$7:$C$113,0),9)</f>
        <v>0</v>
      </c>
      <c r="P85" s="170">
        <f t="shared" si="26"/>
        <v>0</v>
      </c>
      <c r="Q85" s="152"/>
      <c r="R85" s="134">
        <v>0</v>
      </c>
      <c r="S85" s="134">
        <v>0</v>
      </c>
      <c r="T85" s="134">
        <v>0</v>
      </c>
      <c r="U85" s="134">
        <v>0</v>
      </c>
      <c r="V85" s="134">
        <v>0</v>
      </c>
      <c r="W85" s="134">
        <f>40*H85</f>
        <v>0</v>
      </c>
      <c r="X85" s="134">
        <v>0</v>
      </c>
      <c r="Y85" s="304">
        <f t="shared" si="27"/>
        <v>0</v>
      </c>
      <c r="Z85" s="6"/>
      <c r="AA85" s="6"/>
      <c r="AB85" s="6"/>
      <c r="AC85" s="6"/>
      <c r="AD85" s="6"/>
      <c r="AE85" s="6"/>
      <c r="AF85" s="6"/>
      <c r="AI85" s="97"/>
      <c r="AK85" s="349"/>
      <c r="AL85" s="349"/>
      <c r="AM85" s="349"/>
      <c r="AN85" s="349"/>
      <c r="AO85" s="349"/>
      <c r="AP85" s="349"/>
      <c r="AQ85" s="349"/>
      <c r="AR85" s="349"/>
      <c r="AS85" s="349"/>
      <c r="AT85" s="349"/>
      <c r="AU85" s="349"/>
      <c r="AV85" s="349"/>
    </row>
    <row r="86" spans="2:48" x14ac:dyDescent="0.25">
      <c r="B86" s="334" t="s">
        <v>400</v>
      </c>
      <c r="G86" s="170"/>
      <c r="H86" s="313"/>
      <c r="I86" s="123"/>
      <c r="J86" s="108"/>
      <c r="K86" s="170"/>
      <c r="L86" s="170"/>
      <c r="M86" s="170"/>
      <c r="N86" s="170"/>
      <c r="O86" s="170"/>
      <c r="P86" s="170"/>
      <c r="Q86" s="208"/>
      <c r="R86" s="189"/>
      <c r="S86" s="189"/>
      <c r="T86" s="189"/>
      <c r="U86" s="189"/>
      <c r="V86" s="189"/>
      <c r="W86" s="189"/>
      <c r="X86" s="189"/>
      <c r="Y86" s="304"/>
      <c r="Z86" s="6"/>
      <c r="AA86" s="6"/>
      <c r="AB86" s="6"/>
      <c r="AC86" s="6"/>
      <c r="AD86" s="6"/>
      <c r="AE86" s="6"/>
      <c r="AF86" s="6"/>
      <c r="AG86" s="8"/>
      <c r="AI86" s="97"/>
      <c r="AK86" s="349"/>
      <c r="AL86" s="354"/>
      <c r="AM86" s="349"/>
      <c r="AN86" s="349"/>
      <c r="AO86" s="349"/>
      <c r="AP86" s="349"/>
      <c r="AQ86" s="349"/>
      <c r="AR86" s="349"/>
      <c r="AS86" s="349"/>
      <c r="AT86" s="349"/>
      <c r="AU86" s="349"/>
      <c r="AV86" s="349"/>
    </row>
    <row r="87" spans="2:48" x14ac:dyDescent="0.25">
      <c r="B87" s="315"/>
      <c r="C87" s="23" t="s">
        <v>372</v>
      </c>
      <c r="D87" s="23" t="str">
        <f>INDEX(Unit_Rates!$C$7:$K$113,MATCH($C87,Unit_Rates!$C$7:$C$113,0),5)</f>
        <v>Subtransmission</v>
      </c>
      <c r="E87" s="23" t="str">
        <f>INDEX(Unit_Rates!$C$7:$K$113,MATCH($C87,Unit_Rates!$C$7:$C$113,0),6)</f>
        <v>Augmentation</v>
      </c>
      <c r="F87" s="23" t="str">
        <f t="shared" ref="F87" si="29">D87&amp;E87</f>
        <v>SubtransmissionAugmentation</v>
      </c>
      <c r="G87" s="170">
        <f>INDEX(Unit_Rates!$C$7:$K$113,MATCH($C87,Unit_Rates!$C$7:$C$113,0),7)</f>
        <v>0.40306153846153847</v>
      </c>
      <c r="H87" s="350"/>
      <c r="I87" s="308" t="s">
        <v>294</v>
      </c>
      <c r="J87" s="108"/>
      <c r="K87" s="170">
        <f>G87*H87</f>
        <v>0</v>
      </c>
      <c r="L87" s="170">
        <f t="shared" ref="L87:L88" si="30">SUMPRODUCT(R$5:X$5,R87:X87)/Thousands</f>
        <v>0</v>
      </c>
      <c r="M87" s="170"/>
      <c r="N87" s="170">
        <f>$H87*INDEX(Unit_Rates!$C$7:$K$113,MATCH($C87,Unit_Rates!$C$7:$C$113,0),8)</f>
        <v>0</v>
      </c>
      <c r="O87" s="170">
        <f>$H87*INDEX(Unit_Rates!$C$7:$K$113,MATCH($C87,Unit_Rates!$C$7:$C$113,0),9)</f>
        <v>0</v>
      </c>
      <c r="P87" s="170">
        <f t="shared" ref="P87:P88" si="31">SUM(K87:O87)</f>
        <v>0</v>
      </c>
      <c r="Q87" s="314">
        <f>P87-H87*VLOOKUP(C87,Unit_Rates!$C$7:$E$113,3,FALSE)</f>
        <v>0</v>
      </c>
      <c r="R87" s="134">
        <v>0</v>
      </c>
      <c r="S87" s="134">
        <v>0</v>
      </c>
      <c r="T87" s="134">
        <v>0</v>
      </c>
      <c r="U87" s="134">
        <v>0</v>
      </c>
      <c r="V87" s="134">
        <v>0</v>
      </c>
      <c r="W87" s="134">
        <v>0</v>
      </c>
      <c r="X87" s="134">
        <v>0</v>
      </c>
      <c r="Y87" s="304">
        <f t="shared" si="27"/>
        <v>0</v>
      </c>
      <c r="Z87" s="6"/>
      <c r="AA87" s="6"/>
      <c r="AB87" s="6"/>
      <c r="AC87" s="6"/>
      <c r="AD87" s="6"/>
      <c r="AE87" s="6"/>
      <c r="AF87" s="6"/>
      <c r="AG87" s="8"/>
      <c r="AI87" s="97"/>
      <c r="AK87" s="349"/>
      <c r="AL87" s="349"/>
      <c r="AM87" s="349"/>
      <c r="AN87" s="349"/>
      <c r="AO87" s="349"/>
      <c r="AP87" s="349"/>
      <c r="AQ87" s="349"/>
      <c r="AR87" s="349"/>
      <c r="AS87" s="349"/>
      <c r="AT87" s="349"/>
      <c r="AU87" s="349"/>
      <c r="AV87" s="349"/>
    </row>
    <row r="88" spans="2:48" x14ac:dyDescent="0.25">
      <c r="B88" s="315"/>
      <c r="C88" s="305" t="s">
        <v>364</v>
      </c>
      <c r="D88" t="s">
        <v>3</v>
      </c>
      <c r="E88" t="s">
        <v>27</v>
      </c>
      <c r="F88" t="s">
        <v>30</v>
      </c>
      <c r="G88" s="170">
        <f>INDEX(Unit_Rates!$C$7:$K$113,MATCH($C88,Unit_Rates!$C$7:$C$113,0),7)</f>
        <v>0</v>
      </c>
      <c r="H88" s="350"/>
      <c r="I88" s="308" t="s">
        <v>362</v>
      </c>
      <c r="J88" s="108"/>
      <c r="K88" s="170">
        <f t="shared" ref="K88" si="32">G88*H88</f>
        <v>0</v>
      </c>
      <c r="L88" s="170">
        <f t="shared" si="30"/>
        <v>0</v>
      </c>
      <c r="M88" s="170"/>
      <c r="N88" s="170">
        <f>$H88*INDEX(Unit_Rates!$C$7:$K$113,MATCH($C88,Unit_Rates!$C$7:$C$113,0),8)</f>
        <v>0</v>
      </c>
      <c r="O88" s="170">
        <f>$H88*INDEX(Unit_Rates!$C$7:$K$113,MATCH($C88,Unit_Rates!$C$7:$C$113,0),9)</f>
        <v>0</v>
      </c>
      <c r="P88" s="170">
        <f t="shared" si="31"/>
        <v>0</v>
      </c>
      <c r="Q88" s="314">
        <f>P88-H88*VLOOKUP(C88,Unit_Rates!$C$7:$E$113,3,FALSE)</f>
        <v>0</v>
      </c>
      <c r="R88" s="134">
        <v>0</v>
      </c>
      <c r="S88" s="134">
        <v>0</v>
      </c>
      <c r="T88" s="134">
        <v>0</v>
      </c>
      <c r="U88" s="134">
        <v>0</v>
      </c>
      <c r="V88" s="134">
        <v>0</v>
      </c>
      <c r="W88" s="134">
        <v>0</v>
      </c>
      <c r="X88" s="134">
        <v>0</v>
      </c>
      <c r="Y88" s="304">
        <f t="shared" si="27"/>
        <v>0</v>
      </c>
      <c r="Z88" s="6"/>
      <c r="AA88" s="6"/>
      <c r="AB88" s="6"/>
      <c r="AC88" s="6"/>
      <c r="AD88" s="6"/>
      <c r="AE88" s="6"/>
      <c r="AF88" s="6"/>
      <c r="AG88" s="8"/>
      <c r="AI88" s="97"/>
      <c r="AK88" s="349"/>
      <c r="AL88" s="349"/>
      <c r="AM88" s="349"/>
      <c r="AN88" s="349"/>
      <c r="AO88" s="349"/>
      <c r="AP88" s="349"/>
      <c r="AQ88" s="349"/>
      <c r="AR88" s="349"/>
      <c r="AS88" s="349"/>
      <c r="AT88" s="349"/>
      <c r="AU88" s="349"/>
      <c r="AV88" s="349"/>
    </row>
    <row r="89" spans="2:48" x14ac:dyDescent="0.25">
      <c r="B89" s="335" t="s">
        <v>399</v>
      </c>
      <c r="G89" s="170"/>
      <c r="H89" s="313"/>
      <c r="I89" s="308"/>
      <c r="J89" s="108"/>
      <c r="K89" s="170"/>
      <c r="L89" s="170"/>
      <c r="M89" s="170"/>
      <c r="N89" s="170"/>
      <c r="O89" s="170"/>
      <c r="P89" s="170"/>
      <c r="Q89" s="152"/>
      <c r="R89" s="189"/>
      <c r="S89" s="189"/>
      <c r="T89" s="189"/>
      <c r="U89" s="189"/>
      <c r="V89" s="189"/>
      <c r="W89" s="189"/>
      <c r="X89" s="189"/>
      <c r="Y89" s="304"/>
      <c r="Z89" s="6"/>
      <c r="AA89" s="6"/>
      <c r="AB89" s="6"/>
      <c r="AC89" s="6"/>
      <c r="AD89" s="6"/>
      <c r="AE89" s="6"/>
      <c r="AF89" s="6"/>
      <c r="AG89" s="8"/>
      <c r="AI89" s="97"/>
      <c r="AK89" s="349"/>
      <c r="AL89" s="349"/>
      <c r="AM89" s="349"/>
      <c r="AN89" s="349"/>
      <c r="AO89" s="349"/>
      <c r="AP89" s="349"/>
      <c r="AQ89" s="349"/>
      <c r="AR89" s="349"/>
      <c r="AS89" s="349"/>
      <c r="AT89" s="349"/>
      <c r="AU89" s="349"/>
      <c r="AV89" s="349"/>
    </row>
    <row r="90" spans="2:48" x14ac:dyDescent="0.25">
      <c r="B90" s="315"/>
      <c r="C90" s="305" t="s">
        <v>390</v>
      </c>
      <c r="D90" s="23" t="str">
        <f>INDEX(Unit_Rates!$C$7:$K$113,MATCH($C90,Unit_Rates!$C$7:$C$113,0),5)</f>
        <v>Subtransmission</v>
      </c>
      <c r="E90" s="23" t="str">
        <f>INDEX(Unit_Rates!$C$7:$K$113,MATCH($C90,Unit_Rates!$C$7:$C$113,0),6)</f>
        <v>Augmentation</v>
      </c>
      <c r="F90" s="23" t="str">
        <f t="shared" ref="F90:F93" si="33">D90&amp;E90</f>
        <v>SubtransmissionAugmentation</v>
      </c>
      <c r="G90" s="170">
        <f>INDEX(Unit_Rates!$C$7:$K$113,MATCH($C90,Unit_Rates!$C$7:$C$113,0),7)</f>
        <v>8.7200000000000006</v>
      </c>
      <c r="H90" s="350"/>
      <c r="I90" s="123" t="s">
        <v>362</v>
      </c>
      <c r="J90" s="108"/>
      <c r="K90" s="170">
        <f t="shared" ref="K90:K93" si="34">G90*H90</f>
        <v>0</v>
      </c>
      <c r="L90" s="170">
        <f t="shared" ref="L90:L93" si="35">SUMPRODUCT(R$5:X$5,R90:X90)/Thousands</f>
        <v>0</v>
      </c>
      <c r="M90" s="170"/>
      <c r="N90" s="170">
        <f>$H90*INDEX(Unit_Rates!$C$7:$K$113,MATCH($C90,Unit_Rates!$C$7:$C$113,0),8)</f>
        <v>0</v>
      </c>
      <c r="O90" s="170">
        <f>$H90*INDEX(Unit_Rates!$C$7:$K$113,MATCH($C90,Unit_Rates!$C$7:$C$113,0),9)</f>
        <v>0</v>
      </c>
      <c r="P90" s="170">
        <f t="shared" ref="P90:P93" si="36">SUM(K90:O90)</f>
        <v>0</v>
      </c>
      <c r="Q90" s="152"/>
      <c r="R90" s="134">
        <v>0</v>
      </c>
      <c r="S90" s="134">
        <v>0</v>
      </c>
      <c r="T90" s="134">
        <v>0</v>
      </c>
      <c r="U90" s="134">
        <v>0</v>
      </c>
      <c r="V90" s="134">
        <v>0</v>
      </c>
      <c r="W90" s="134">
        <f>8*H90</f>
        <v>0</v>
      </c>
      <c r="X90" s="134">
        <v>0</v>
      </c>
      <c r="Y90" s="304">
        <f t="shared" si="27"/>
        <v>0</v>
      </c>
      <c r="Z90" s="6"/>
      <c r="AA90" s="6"/>
      <c r="AB90" s="6"/>
      <c r="AC90" s="6"/>
      <c r="AD90" s="6"/>
      <c r="AE90" s="6"/>
      <c r="AF90" s="6"/>
      <c r="AG90" s="8"/>
      <c r="AI90" s="97"/>
      <c r="AK90" s="349"/>
      <c r="AL90" s="349"/>
      <c r="AM90" s="349"/>
      <c r="AN90" s="349"/>
      <c r="AO90" s="349"/>
      <c r="AP90" s="349"/>
      <c r="AQ90" s="349"/>
      <c r="AR90" s="349"/>
      <c r="AS90" s="349"/>
      <c r="AT90" s="349"/>
      <c r="AU90" s="349"/>
      <c r="AV90" s="349"/>
    </row>
    <row r="91" spans="2:48" x14ac:dyDescent="0.25">
      <c r="B91" s="315"/>
      <c r="C91" s="305" t="s">
        <v>367</v>
      </c>
      <c r="D91" s="23" t="str">
        <f>INDEX(Unit_Rates!$C$7:$K$113,MATCH($C91,Unit_Rates!$C$7:$C$113,0),5)</f>
        <v>Subtransmission</v>
      </c>
      <c r="E91" s="23" t="str">
        <f>INDEX(Unit_Rates!$C$7:$K$113,MATCH($C91,Unit_Rates!$C$7:$C$113,0),6)</f>
        <v>Augmentation</v>
      </c>
      <c r="F91" s="23" t="str">
        <f t="shared" si="33"/>
        <v>SubtransmissionAugmentation</v>
      </c>
      <c r="G91" s="170">
        <f>INDEX(Unit_Rates!$C$7:$K$113,MATCH($C91,Unit_Rates!$C$7:$C$113,0),7)</f>
        <v>6.7949999999999999</v>
      </c>
      <c r="H91" s="350"/>
      <c r="I91" s="123" t="s">
        <v>294</v>
      </c>
      <c r="J91" s="108"/>
      <c r="K91" s="170">
        <f t="shared" si="34"/>
        <v>0</v>
      </c>
      <c r="L91" s="170">
        <f t="shared" si="35"/>
        <v>0</v>
      </c>
      <c r="M91" s="170"/>
      <c r="N91" s="170">
        <f>$H91*INDEX(Unit_Rates!$C$7:$K$113,MATCH($C91,Unit_Rates!$C$7:$C$113,0),8)</f>
        <v>0</v>
      </c>
      <c r="O91" s="170">
        <f>$H91*INDEX(Unit_Rates!$C$7:$K$113,MATCH($C91,Unit_Rates!$C$7:$C$113,0),9)</f>
        <v>0</v>
      </c>
      <c r="P91" s="170">
        <f t="shared" si="36"/>
        <v>0</v>
      </c>
      <c r="Q91" s="314">
        <f>P91-H91*VLOOKUP(C91,Unit_Rates!$C$7:$E$113,3,FALSE)</f>
        <v>0</v>
      </c>
      <c r="R91" s="134">
        <v>0</v>
      </c>
      <c r="S91" s="134">
        <v>0</v>
      </c>
      <c r="T91" s="134">
        <v>0</v>
      </c>
      <c r="U91" s="134">
        <v>0</v>
      </c>
      <c r="V91" s="134">
        <v>0</v>
      </c>
      <c r="W91" s="134">
        <v>0</v>
      </c>
      <c r="X91" s="134">
        <v>0</v>
      </c>
      <c r="Y91" s="304">
        <f t="shared" si="27"/>
        <v>0</v>
      </c>
      <c r="Z91" s="6"/>
      <c r="AA91" s="6"/>
      <c r="AB91" s="6"/>
      <c r="AC91" s="6"/>
      <c r="AD91" s="6"/>
      <c r="AE91" s="6"/>
      <c r="AF91" s="6"/>
      <c r="AG91" s="8"/>
      <c r="AI91" s="97"/>
      <c r="AK91" s="349"/>
      <c r="AL91" s="349"/>
      <c r="AM91" s="349"/>
      <c r="AN91" s="349"/>
      <c r="AO91" s="349"/>
      <c r="AP91" s="349"/>
      <c r="AQ91" s="349"/>
      <c r="AR91" s="349"/>
      <c r="AS91" s="349"/>
      <c r="AT91" s="349"/>
      <c r="AU91" s="349"/>
      <c r="AV91" s="349"/>
    </row>
    <row r="92" spans="2:48" x14ac:dyDescent="0.25">
      <c r="B92" s="335" t="s">
        <v>398</v>
      </c>
      <c r="C92" s="305"/>
      <c r="D92" s="23"/>
      <c r="E92" s="23"/>
      <c r="F92" s="23"/>
      <c r="G92" s="170"/>
      <c r="H92" s="313"/>
      <c r="I92" s="308"/>
      <c r="J92" s="305"/>
      <c r="K92" s="170"/>
      <c r="L92" s="170"/>
      <c r="M92" s="170"/>
      <c r="N92" s="170"/>
      <c r="O92" s="170"/>
      <c r="P92" s="170"/>
      <c r="Q92" s="314"/>
      <c r="R92" s="189"/>
      <c r="S92" s="189"/>
      <c r="T92" s="189"/>
      <c r="U92" s="189"/>
      <c r="V92" s="189"/>
      <c r="W92" s="189"/>
      <c r="X92" s="189"/>
      <c r="Y92" s="77"/>
      <c r="Z92" s="6"/>
      <c r="AA92" s="6"/>
      <c r="AB92" s="6"/>
      <c r="AC92" s="6"/>
      <c r="AD92" s="6"/>
      <c r="AE92" s="6"/>
      <c r="AF92" s="6"/>
      <c r="AG92" s="8"/>
      <c r="AI92" s="97"/>
      <c r="AK92" s="349"/>
      <c r="AL92" s="349"/>
      <c r="AM92" s="349"/>
      <c r="AN92" s="349"/>
      <c r="AO92" s="349"/>
      <c r="AP92" s="349"/>
      <c r="AQ92" s="349"/>
      <c r="AR92" s="349"/>
      <c r="AS92" s="349"/>
      <c r="AT92" s="349"/>
      <c r="AU92" s="349"/>
      <c r="AV92" s="349"/>
    </row>
    <row r="93" spans="2:48" x14ac:dyDescent="0.25">
      <c r="B93" s="120"/>
      <c r="C93" s="305" t="s">
        <v>391</v>
      </c>
      <c r="D93" s="23" t="str">
        <f>INDEX(Unit_Rates!$C$7:$K$113,MATCH($C93,Unit_Rates!$C$7:$C$113,0),5)</f>
        <v>Subtransmission</v>
      </c>
      <c r="E93" s="23" t="str">
        <f>INDEX(Unit_Rates!$C$7:$K$113,MATCH($C93,Unit_Rates!$C$7:$C$113,0),6)</f>
        <v>Augmentation</v>
      </c>
      <c r="F93" s="23" t="str">
        <f t="shared" si="33"/>
        <v>SubtransmissionAugmentation</v>
      </c>
      <c r="G93" s="170">
        <f>INDEX(Unit_Rates!$C$7:$K$113,MATCH($C93,Unit_Rates!$C$7:$C$113,0),7)</f>
        <v>0</v>
      </c>
      <c r="H93" s="350"/>
      <c r="I93" s="123" t="s">
        <v>362</v>
      </c>
      <c r="J93" s="108"/>
      <c r="K93" s="211">
        <f t="shared" si="34"/>
        <v>0</v>
      </c>
      <c r="L93" s="211">
        <f t="shared" si="35"/>
        <v>0</v>
      </c>
      <c r="M93" s="211"/>
      <c r="N93" s="211">
        <f>$H93*INDEX(Unit_Rates!$C$7:$K$113,MATCH($C93,Unit_Rates!$C$7:$C$113,0),8)</f>
        <v>0</v>
      </c>
      <c r="O93" s="211">
        <f>$H93*INDEX(Unit_Rates!$C$7:$K$113,MATCH($C93,Unit_Rates!$C$7:$C$113,0),9)</f>
        <v>0</v>
      </c>
      <c r="P93" s="211">
        <f t="shared" si="36"/>
        <v>0</v>
      </c>
      <c r="Q93" s="314">
        <f>P93-H93*VLOOKUP(C93,Unit_Rates!$C$7:$E$113,3,FALSE)</f>
        <v>0</v>
      </c>
      <c r="R93" s="134">
        <v>0</v>
      </c>
      <c r="S93" s="134">
        <v>0</v>
      </c>
      <c r="T93" s="134">
        <v>0</v>
      </c>
      <c r="U93" s="134">
        <v>0</v>
      </c>
      <c r="V93" s="134">
        <v>0</v>
      </c>
      <c r="W93" s="134">
        <v>0</v>
      </c>
      <c r="X93" s="134">
        <v>0</v>
      </c>
      <c r="Y93" s="304">
        <f t="shared" si="27"/>
        <v>0</v>
      </c>
      <c r="Z93" s="6"/>
      <c r="AA93" s="6"/>
      <c r="AB93" s="6"/>
      <c r="AC93" s="6"/>
      <c r="AD93" s="6"/>
      <c r="AE93" s="6"/>
      <c r="AF93" s="6"/>
      <c r="AG93" s="8"/>
      <c r="AI93" s="97"/>
      <c r="AK93" s="349"/>
      <c r="AL93" s="349"/>
      <c r="AM93" s="349"/>
      <c r="AN93" s="349"/>
      <c r="AO93" s="349"/>
      <c r="AP93" s="349"/>
      <c r="AQ93" s="349"/>
      <c r="AR93" s="349"/>
      <c r="AS93" s="349"/>
      <c r="AT93" s="349"/>
      <c r="AU93" s="349"/>
      <c r="AV93" s="349"/>
    </row>
    <row r="94" spans="2:48" x14ac:dyDescent="0.25">
      <c r="B94" s="120"/>
      <c r="C94" s="23" t="s">
        <v>404</v>
      </c>
      <c r="G94" s="212"/>
      <c r="H94" s="122"/>
      <c r="I94" s="167"/>
      <c r="K94" s="212">
        <f t="shared" ref="K94:P94" si="37">SUM(K79:K93)</f>
        <v>0</v>
      </c>
      <c r="L94" s="212">
        <f t="shared" si="37"/>
        <v>0</v>
      </c>
      <c r="M94" s="170">
        <f t="shared" si="37"/>
        <v>0</v>
      </c>
      <c r="N94" s="170">
        <f t="shared" si="37"/>
        <v>0</v>
      </c>
      <c r="O94" s="170">
        <f t="shared" si="37"/>
        <v>0</v>
      </c>
      <c r="P94" s="170">
        <f t="shared" si="37"/>
        <v>0</v>
      </c>
      <c r="Q94" s="163"/>
      <c r="R94" s="127"/>
      <c r="S94" s="127"/>
      <c r="T94" s="127"/>
      <c r="U94" s="127"/>
      <c r="V94" s="127"/>
      <c r="W94" s="127"/>
      <c r="X94" s="127"/>
      <c r="AI94" s="97"/>
      <c r="AK94" s="295"/>
      <c r="AL94" s="354"/>
      <c r="AM94" s="349"/>
      <c r="AN94" s="349"/>
      <c r="AO94" s="349"/>
      <c r="AP94" s="349"/>
      <c r="AQ94" s="349"/>
      <c r="AR94" s="349"/>
      <c r="AS94" s="349"/>
      <c r="AT94" s="349"/>
      <c r="AU94" s="349"/>
      <c r="AV94" s="349"/>
    </row>
    <row r="95" spans="2:48" x14ac:dyDescent="0.25">
      <c r="B95" s="120"/>
      <c r="G95" s="166"/>
      <c r="H95" s="122"/>
      <c r="I95" s="167"/>
      <c r="K95" s="212"/>
      <c r="L95" s="212"/>
      <c r="M95" s="170"/>
      <c r="N95" s="170"/>
      <c r="O95" s="170"/>
      <c r="P95" s="170"/>
      <c r="R95" s="127"/>
      <c r="S95" s="127"/>
      <c r="T95" s="127"/>
      <c r="U95" s="127"/>
      <c r="V95" s="127"/>
      <c r="W95" s="127"/>
      <c r="X95" s="127"/>
      <c r="AI95" s="97"/>
      <c r="AK95" s="295"/>
      <c r="AL95" s="349"/>
      <c r="AM95" s="349"/>
      <c r="AN95" s="349"/>
      <c r="AO95" s="349"/>
      <c r="AP95" s="349"/>
      <c r="AQ95" s="349"/>
      <c r="AR95" s="349"/>
      <c r="AS95" s="349"/>
      <c r="AT95" s="349"/>
      <c r="AU95" s="349"/>
      <c r="AV95" s="349"/>
    </row>
    <row r="96" spans="2:48" x14ac:dyDescent="0.25">
      <c r="B96" s="312" t="s">
        <v>369</v>
      </c>
      <c r="G96" s="166"/>
      <c r="H96" s="122"/>
      <c r="I96" s="167"/>
      <c r="K96" s="212"/>
      <c r="L96" s="212"/>
      <c r="M96" s="170"/>
      <c r="N96" s="170"/>
      <c r="O96" s="170"/>
      <c r="P96" s="170"/>
      <c r="R96" s="127"/>
      <c r="S96" s="127"/>
      <c r="T96" s="127"/>
      <c r="U96" s="127"/>
      <c r="V96" s="127"/>
      <c r="W96" s="127"/>
      <c r="X96" s="127"/>
      <c r="Y96" s="77"/>
      <c r="Z96" s="6"/>
      <c r="AA96" s="6"/>
      <c r="AB96" s="6"/>
      <c r="AC96" s="6"/>
      <c r="AD96" s="6"/>
      <c r="AE96" s="6"/>
      <c r="AF96" s="6"/>
      <c r="AG96" s="8"/>
      <c r="AI96" s="97"/>
      <c r="AK96" s="347"/>
      <c r="AL96" s="349"/>
      <c r="AM96" s="349"/>
      <c r="AN96" s="349"/>
      <c r="AO96" s="349"/>
      <c r="AP96" s="349"/>
      <c r="AQ96" s="349"/>
      <c r="AR96" s="349"/>
      <c r="AS96" s="349"/>
      <c r="AT96" s="349"/>
      <c r="AU96" s="349"/>
      <c r="AV96" s="349"/>
    </row>
    <row r="97" spans="2:48" x14ac:dyDescent="0.25">
      <c r="B97" s="335" t="s">
        <v>376</v>
      </c>
      <c r="G97" s="170"/>
      <c r="H97" s="306"/>
      <c r="I97" s="123"/>
      <c r="K97" s="212"/>
      <c r="L97" s="212"/>
      <c r="M97" s="170"/>
      <c r="N97" s="170"/>
      <c r="O97" s="170"/>
      <c r="P97" s="170"/>
      <c r="Q97" s="163"/>
      <c r="R97" s="189"/>
      <c r="S97" s="189"/>
      <c r="T97" s="189"/>
      <c r="U97" s="189"/>
      <c r="V97" s="189"/>
      <c r="W97" s="189"/>
      <c r="X97" s="189"/>
      <c r="Y97" s="77"/>
      <c r="Z97" s="6"/>
      <c r="AA97" s="6"/>
      <c r="AB97" s="6"/>
      <c r="AC97" s="6"/>
      <c r="AD97" s="6"/>
      <c r="AE97" s="6"/>
      <c r="AF97" s="6"/>
      <c r="AG97" s="8"/>
      <c r="AI97" s="97"/>
      <c r="AK97" s="347"/>
      <c r="AL97" s="349"/>
      <c r="AM97" s="349"/>
      <c r="AN97" s="349"/>
      <c r="AO97" s="349"/>
      <c r="AP97" s="349"/>
      <c r="AQ97" s="349"/>
      <c r="AR97" s="349"/>
      <c r="AS97" s="349"/>
      <c r="AT97" s="349"/>
      <c r="AU97" s="349"/>
      <c r="AV97" s="349"/>
    </row>
    <row r="98" spans="2:48" x14ac:dyDescent="0.25">
      <c r="B98" s="120"/>
      <c r="C98" s="305" t="s">
        <v>373</v>
      </c>
      <c r="D98" s="23" t="str">
        <f>Unit_Rates!G137</f>
        <v>Distribution system assets</v>
      </c>
      <c r="E98" t="s">
        <v>27</v>
      </c>
      <c r="F98" s="23" t="str">
        <f t="shared" ref="F98:F101" si="38">D98&amp;E98</f>
        <v>Distribution system assetsAugmentation</v>
      </c>
      <c r="G98" s="170">
        <f>Unit_Rates!I137</f>
        <v>0.37850311702696687</v>
      </c>
      <c r="H98" s="345"/>
      <c r="I98" s="123" t="s">
        <v>294</v>
      </c>
      <c r="K98" s="212">
        <f t="shared" ref="K98:K101" si="39">G98*H98</f>
        <v>0</v>
      </c>
      <c r="L98" s="212">
        <f>SUMPRODUCT(R$5:X$5,R98:X98)/Thousands</f>
        <v>0</v>
      </c>
      <c r="M98" s="170">
        <f>$H98*Unit_Rates!K137</f>
        <v>0</v>
      </c>
      <c r="N98" s="170">
        <f>$H98*Unit_Rates!L137</f>
        <v>0</v>
      </c>
      <c r="O98" s="170">
        <f>$H98*Unit_Rates!M137</f>
        <v>0</v>
      </c>
      <c r="P98" s="170">
        <f t="shared" ref="P98" si="40">SUM(K98:O98)</f>
        <v>0</v>
      </c>
      <c r="Q98" s="314">
        <f>P98-H98*Unit_Rates!$E$137</f>
        <v>0</v>
      </c>
      <c r="R98" s="346">
        <f t="shared" ref="R98:X98" si="41">$AI98*Z98*$H98</f>
        <v>0</v>
      </c>
      <c r="S98" s="346">
        <f t="shared" si="41"/>
        <v>0</v>
      </c>
      <c r="T98" s="346">
        <f t="shared" si="41"/>
        <v>0</v>
      </c>
      <c r="U98" s="346">
        <f t="shared" si="41"/>
        <v>0</v>
      </c>
      <c r="V98" s="346">
        <f t="shared" si="41"/>
        <v>0</v>
      </c>
      <c r="W98" s="346">
        <f t="shared" si="41"/>
        <v>0</v>
      </c>
      <c r="X98" s="346">
        <f t="shared" si="41"/>
        <v>0</v>
      </c>
      <c r="Y98" s="304">
        <f t="shared" ref="Y98:Y101" si="42">SUM(R98:X98)</f>
        <v>0</v>
      </c>
      <c r="Z98" s="283">
        <v>2.5727805595989302E-2</v>
      </c>
      <c r="AA98" s="283">
        <v>0</v>
      </c>
      <c r="AB98" s="283">
        <v>0.32115728206047139</v>
      </c>
      <c r="AC98" s="283">
        <v>0</v>
      </c>
      <c r="AD98" s="283">
        <v>0</v>
      </c>
      <c r="AE98" s="283">
        <v>0</v>
      </c>
      <c r="AF98" s="283">
        <v>0.65311491234353936</v>
      </c>
      <c r="AG98" s="281">
        <f>SUM(Z98:AF98)</f>
        <v>1</v>
      </c>
      <c r="AH98" s="23" t="b">
        <f>AG98=1</f>
        <v>1</v>
      </c>
      <c r="AI98" s="96">
        <v>1.08</v>
      </c>
      <c r="AK98" s="347"/>
      <c r="AL98" s="349"/>
      <c r="AM98" s="349"/>
      <c r="AN98" s="349"/>
      <c r="AO98" s="349"/>
      <c r="AP98" s="349"/>
      <c r="AQ98" s="349"/>
      <c r="AR98" s="349"/>
      <c r="AS98" s="349"/>
      <c r="AT98" s="349"/>
      <c r="AU98" s="349"/>
      <c r="AV98" s="349"/>
    </row>
    <row r="99" spans="2:48" x14ac:dyDescent="0.25">
      <c r="B99" s="120"/>
      <c r="C99" s="305" t="s">
        <v>374</v>
      </c>
      <c r="D99" s="23" t="str">
        <f>Unit_Rates!G138</f>
        <v>Distribution system assets</v>
      </c>
      <c r="E99" t="s">
        <v>27</v>
      </c>
      <c r="F99" s="23" t="str">
        <f t="shared" si="38"/>
        <v>Distribution system assetsAugmentation</v>
      </c>
      <c r="G99" s="170">
        <f>INDEX(Unit_Rates!$C$7:$K$113,MATCH($C99,Unit_Rates!$C$7:$C$113,0),7)</f>
        <v>15.42</v>
      </c>
      <c r="H99" s="345"/>
      <c r="I99" s="123" t="s">
        <v>294</v>
      </c>
      <c r="K99" s="212">
        <f t="shared" si="39"/>
        <v>0</v>
      </c>
      <c r="L99" s="212">
        <f>SUMPRODUCT(R$5:X$5,R99:X99)/Thousands</f>
        <v>0</v>
      </c>
      <c r="M99" s="170"/>
      <c r="N99" s="170">
        <f>$H99*INDEX(Unit_Rates!$C$7:$K$113,MATCH($C99,Unit_Rates!$C$7:$C$113,0),8)</f>
        <v>0</v>
      </c>
      <c r="O99" s="170">
        <f>$H99*INDEX(Unit_Rates!$C$7:$K$113,MATCH($C99,Unit_Rates!$C$7:$C$113,0),9)</f>
        <v>0</v>
      </c>
      <c r="P99" s="170">
        <f t="shared" ref="P99:P101" si="43">SUM(K99:O99)</f>
        <v>0</v>
      </c>
      <c r="Q99" s="314">
        <f>P99-H99*VLOOKUP(C99,Unit_Rates!$C$7:$E$113,3,FALSE)</f>
        <v>0</v>
      </c>
      <c r="R99" s="134">
        <v>0</v>
      </c>
      <c r="S99" s="134">
        <v>0</v>
      </c>
      <c r="T99" s="134">
        <v>0</v>
      </c>
      <c r="U99" s="134">
        <v>0</v>
      </c>
      <c r="V99" s="134">
        <v>0</v>
      </c>
      <c r="W99" s="134">
        <v>0</v>
      </c>
      <c r="X99" s="134">
        <v>0</v>
      </c>
      <c r="Y99" s="304">
        <f t="shared" si="42"/>
        <v>0</v>
      </c>
      <c r="Z99" s="6"/>
      <c r="AA99" s="6"/>
      <c r="AB99" s="6"/>
      <c r="AC99" s="6"/>
      <c r="AD99" s="6"/>
      <c r="AE99" s="6"/>
      <c r="AF99" s="6"/>
      <c r="AG99" s="8"/>
      <c r="AI99" s="97"/>
      <c r="AK99" s="347"/>
      <c r="AL99" s="349"/>
      <c r="AM99" s="349"/>
      <c r="AN99" s="349"/>
      <c r="AO99" s="349"/>
      <c r="AP99" s="349"/>
      <c r="AQ99" s="349"/>
      <c r="AR99" s="349"/>
      <c r="AS99" s="349"/>
      <c r="AT99" s="349"/>
      <c r="AU99" s="349"/>
      <c r="AV99" s="349"/>
    </row>
    <row r="100" spans="2:48" x14ac:dyDescent="0.25">
      <c r="B100" s="120"/>
      <c r="C100" s="305" t="s">
        <v>386</v>
      </c>
      <c r="D100" s="23" t="str">
        <f>INDEX(Unit_Rates!$C$7:$K$113,MATCH($C100,Unit_Rates!$C$7:$C$113,0),5)</f>
        <v>Distribution system assets</v>
      </c>
      <c r="E100" s="23" t="str">
        <f>INDEX(Unit_Rates!$C$7:$K$113,MATCH($C100,Unit_Rates!$C$7:$C$113,0),6)</f>
        <v>Augmentation</v>
      </c>
      <c r="F100" s="23" t="str">
        <f t="shared" si="38"/>
        <v>Distribution system assetsAugmentation</v>
      </c>
      <c r="G100" s="170">
        <f>INDEX(Unit_Rates!$C$7:$K$113,MATCH($C100,Unit_Rates!$C$7:$C$113,0),7)</f>
        <v>6.06</v>
      </c>
      <c r="H100" s="345"/>
      <c r="I100" s="123" t="s">
        <v>294</v>
      </c>
      <c r="K100" s="212">
        <f t="shared" si="39"/>
        <v>0</v>
      </c>
      <c r="L100" s="212">
        <f>SUMPRODUCT(R$5:X$5,R100:X100)/Thousands</f>
        <v>0</v>
      </c>
      <c r="M100" s="170"/>
      <c r="N100" s="170">
        <f>$H100*INDEX(Unit_Rates!$C$7:$K$113,MATCH($C100,Unit_Rates!$C$7:$C$113,0),8)</f>
        <v>0</v>
      </c>
      <c r="O100" s="170">
        <f>$H100*INDEX(Unit_Rates!$C$7:$K$113,MATCH($C100,Unit_Rates!$C$7:$C$113,0),9)</f>
        <v>0</v>
      </c>
      <c r="P100" s="170">
        <f t="shared" si="43"/>
        <v>0</v>
      </c>
      <c r="Q100" s="314">
        <f>P100-H100*VLOOKUP(C100,Unit_Rates!$C$7:$E$113,3,FALSE)</f>
        <v>0</v>
      </c>
      <c r="R100" s="134">
        <v>0</v>
      </c>
      <c r="S100" s="134">
        <v>0</v>
      </c>
      <c r="T100" s="134">
        <v>0</v>
      </c>
      <c r="U100" s="134">
        <v>0</v>
      </c>
      <c r="V100" s="134">
        <v>0</v>
      </c>
      <c r="W100" s="134">
        <v>0</v>
      </c>
      <c r="X100" s="134">
        <v>0</v>
      </c>
      <c r="Y100" s="304">
        <f t="shared" si="42"/>
        <v>0</v>
      </c>
      <c r="Z100" s="6"/>
      <c r="AA100" s="6"/>
      <c r="AB100" s="6"/>
      <c r="AC100" s="6"/>
      <c r="AD100" s="6"/>
      <c r="AE100" s="6"/>
      <c r="AF100" s="6"/>
      <c r="AG100" s="8"/>
      <c r="AI100" s="97"/>
      <c r="AK100" s="348"/>
      <c r="AL100" s="349"/>
      <c r="AM100" s="349"/>
      <c r="AN100" s="349"/>
      <c r="AO100" s="349"/>
      <c r="AP100" s="349"/>
      <c r="AQ100" s="349"/>
      <c r="AR100" s="349"/>
      <c r="AS100" s="349"/>
      <c r="AT100" s="349"/>
      <c r="AU100" s="349"/>
      <c r="AV100" s="349"/>
    </row>
    <row r="101" spans="2:48" x14ac:dyDescent="0.25">
      <c r="B101" s="120"/>
      <c r="C101" s="23" t="s">
        <v>375</v>
      </c>
      <c r="D101" s="23" t="str">
        <f>INDEX(Unit_Rates!$C$7:$K$113,MATCH($C101,Unit_Rates!$C$7:$C$113,0),5)</f>
        <v>Distribution system assets</v>
      </c>
      <c r="E101" s="23" t="str">
        <f>INDEX(Unit_Rates!$C$7:$K$113,MATCH($C101,Unit_Rates!$C$7:$C$113,0),6)</f>
        <v>Augmentation</v>
      </c>
      <c r="F101" s="23" t="str">
        <f t="shared" si="38"/>
        <v>Distribution system assetsAugmentation</v>
      </c>
      <c r="G101" s="170">
        <f>INDEX(Unit_Rates!$C$7:$K$113,MATCH($C101,Unit_Rates!$C$7:$C$113,0),7)</f>
        <v>6.1704999999999996E-2</v>
      </c>
      <c r="H101" s="345"/>
      <c r="I101" s="123" t="s">
        <v>295</v>
      </c>
      <c r="K101" s="251">
        <f t="shared" si="39"/>
        <v>0</v>
      </c>
      <c r="L101" s="251">
        <f>SUMPRODUCT(R$5:X$5,R101:X101)/Thousands</f>
        <v>0</v>
      </c>
      <c r="M101" s="211"/>
      <c r="N101" s="211">
        <f>$H101*INDEX(Unit_Rates!$C$7:$K$113,MATCH($C101,Unit_Rates!$C$7:$C$113,0),8)</f>
        <v>0</v>
      </c>
      <c r="O101" s="211">
        <f>$H101*INDEX(Unit_Rates!$C$7:$K$113,MATCH($C101,Unit_Rates!$C$7:$C$113,0),9)</f>
        <v>0</v>
      </c>
      <c r="P101" s="211">
        <f t="shared" si="43"/>
        <v>0</v>
      </c>
      <c r="Q101" s="314">
        <f>P101-H101*VLOOKUP(C101,Unit_Rates!$C$7:$E$113,3,FALSE)</f>
        <v>0</v>
      </c>
      <c r="R101" s="134">
        <v>0</v>
      </c>
      <c r="S101" s="134">
        <v>0</v>
      </c>
      <c r="T101" s="134">
        <v>0</v>
      </c>
      <c r="U101" s="134">
        <v>0</v>
      </c>
      <c r="V101" s="134">
        <v>0</v>
      </c>
      <c r="W101" s="134">
        <v>0</v>
      </c>
      <c r="X101" s="134">
        <v>0</v>
      </c>
      <c r="Y101" s="304">
        <f t="shared" si="42"/>
        <v>0</v>
      </c>
      <c r="Z101" s="6"/>
      <c r="AA101" s="6"/>
      <c r="AB101" s="6"/>
      <c r="AC101" s="6"/>
      <c r="AD101" s="6"/>
      <c r="AE101" s="6"/>
      <c r="AF101" s="6"/>
      <c r="AI101" s="97"/>
      <c r="AK101" s="349"/>
      <c r="AL101" s="349"/>
      <c r="AM101" s="349"/>
      <c r="AN101" s="349"/>
      <c r="AO101" s="349"/>
      <c r="AP101" s="349"/>
      <c r="AQ101" s="349"/>
      <c r="AR101" s="349"/>
      <c r="AS101" s="349"/>
      <c r="AT101" s="349"/>
      <c r="AU101" s="349"/>
      <c r="AV101" s="349"/>
    </row>
    <row r="102" spans="2:48" x14ac:dyDescent="0.25">
      <c r="B102" s="120"/>
      <c r="C102" s="23" t="s">
        <v>403</v>
      </c>
      <c r="G102" s="166"/>
      <c r="H102" s="307"/>
      <c r="I102" s="123"/>
      <c r="K102" s="212">
        <f t="shared" ref="K102:P102" si="44">SUM(K97:K101)</f>
        <v>0</v>
      </c>
      <c r="L102" s="212">
        <f t="shared" si="44"/>
        <v>0</v>
      </c>
      <c r="M102" s="212">
        <f t="shared" si="44"/>
        <v>0</v>
      </c>
      <c r="N102" s="212">
        <f t="shared" si="44"/>
        <v>0</v>
      </c>
      <c r="O102" s="212">
        <f t="shared" si="44"/>
        <v>0</v>
      </c>
      <c r="P102" s="212">
        <f t="shared" si="44"/>
        <v>0</v>
      </c>
      <c r="Q102" s="152"/>
      <c r="Y102" s="77"/>
      <c r="Z102" s="6"/>
      <c r="AA102" s="6"/>
      <c r="AB102" s="6"/>
      <c r="AC102" s="6"/>
      <c r="AD102" s="6"/>
      <c r="AE102" s="6"/>
      <c r="AF102" s="6"/>
      <c r="AG102" s="8"/>
      <c r="AI102" s="97"/>
      <c r="AK102" s="349"/>
      <c r="AL102" s="349"/>
      <c r="AM102" s="349"/>
      <c r="AN102" s="349"/>
      <c r="AO102" s="349"/>
      <c r="AP102" s="349"/>
      <c r="AQ102" s="349"/>
      <c r="AR102" s="349"/>
      <c r="AS102" s="349"/>
      <c r="AT102" s="349"/>
      <c r="AU102" s="349"/>
      <c r="AV102" s="349"/>
    </row>
    <row r="103" spans="2:48" x14ac:dyDescent="0.25">
      <c r="B103" s="120"/>
      <c r="G103" s="166"/>
      <c r="H103" s="307"/>
      <c r="I103" s="123"/>
      <c r="K103" s="212"/>
      <c r="L103" s="212"/>
      <c r="M103" s="170"/>
      <c r="N103" s="170"/>
      <c r="O103" s="170"/>
      <c r="P103" s="170"/>
      <c r="Q103" s="152"/>
      <c r="Y103" s="77"/>
      <c r="Z103" s="6"/>
      <c r="AA103" s="6"/>
      <c r="AB103" s="6"/>
      <c r="AC103" s="6"/>
      <c r="AD103" s="6"/>
      <c r="AE103" s="6"/>
      <c r="AF103" s="6"/>
      <c r="AG103" s="8"/>
      <c r="AI103" s="97"/>
      <c r="AK103" s="349"/>
      <c r="AL103" s="349"/>
      <c r="AM103" s="349"/>
      <c r="AN103" s="349"/>
      <c r="AO103" s="349"/>
      <c r="AP103" s="349"/>
      <c r="AQ103" s="349"/>
      <c r="AR103" s="349"/>
      <c r="AS103" s="349"/>
      <c r="AT103" s="349"/>
      <c r="AU103" s="349"/>
      <c r="AV103" s="349"/>
    </row>
    <row r="104" spans="2:48" x14ac:dyDescent="0.25">
      <c r="B104" s="120" t="s">
        <v>330</v>
      </c>
      <c r="G104" s="167"/>
      <c r="H104" s="84"/>
      <c r="I104" s="167"/>
      <c r="K104" s="343">
        <f t="shared" ref="K104:P104" si="45">K102+K94</f>
        <v>0</v>
      </c>
      <c r="L104" s="343">
        <f t="shared" si="45"/>
        <v>0</v>
      </c>
      <c r="M104" s="344">
        <f t="shared" si="45"/>
        <v>0</v>
      </c>
      <c r="N104" s="344">
        <f t="shared" si="45"/>
        <v>0</v>
      </c>
      <c r="O104" s="344">
        <f t="shared" si="45"/>
        <v>0</v>
      </c>
      <c r="P104" s="344">
        <f t="shared" si="45"/>
        <v>0</v>
      </c>
      <c r="R104" s="216"/>
      <c r="S104" s="216"/>
      <c r="T104" s="216"/>
      <c r="Z104" s="8"/>
      <c r="AA104" s="8"/>
      <c r="AB104" s="8"/>
      <c r="AK104" s="349"/>
      <c r="AL104" s="349"/>
      <c r="AM104" s="349"/>
      <c r="AN104" s="349"/>
      <c r="AO104" s="349"/>
      <c r="AP104" s="349"/>
      <c r="AQ104" s="349"/>
      <c r="AR104" s="349"/>
      <c r="AS104" s="349"/>
      <c r="AT104" s="349"/>
      <c r="AU104" s="349"/>
      <c r="AV104" s="349"/>
    </row>
    <row r="105" spans="2:48" x14ac:dyDescent="0.25">
      <c r="B105" s="195" t="s">
        <v>307</v>
      </c>
      <c r="C105" s="327"/>
      <c r="D105" s="102"/>
      <c r="E105" s="102"/>
      <c r="F105" s="102"/>
      <c r="G105" s="102"/>
      <c r="H105" s="102"/>
      <c r="I105" s="102"/>
      <c r="J105" s="102"/>
      <c r="K105" s="217">
        <v>0</v>
      </c>
      <c r="L105" s="217">
        <v>0</v>
      </c>
      <c r="M105" s="217">
        <v>0</v>
      </c>
      <c r="N105" s="442">
        <v>0</v>
      </c>
      <c r="O105" s="442">
        <v>0</v>
      </c>
      <c r="P105" s="443">
        <v>0</v>
      </c>
      <c r="Q105" s="163"/>
      <c r="AK105" s="349"/>
      <c r="AL105" s="349"/>
      <c r="AM105" s="349"/>
      <c r="AN105" s="349"/>
      <c r="AO105" s="349"/>
      <c r="AP105" s="349"/>
      <c r="AQ105" s="349"/>
      <c r="AR105" s="349"/>
      <c r="AS105" s="349"/>
      <c r="AT105" s="349"/>
      <c r="AU105" s="349"/>
      <c r="AV105" s="349"/>
    </row>
    <row r="106" spans="2:48" x14ac:dyDescent="0.25">
      <c r="B106" s="120" t="s">
        <v>33</v>
      </c>
      <c r="C106" s="330"/>
      <c r="D106" s="3"/>
      <c r="E106" s="3"/>
      <c r="F106" s="3"/>
      <c r="G106" s="3"/>
      <c r="H106" s="3"/>
      <c r="I106" s="3"/>
      <c r="J106" s="3"/>
      <c r="K106" s="340">
        <f t="shared" ref="K106:P106" si="46">K73+K104</f>
        <v>0</v>
      </c>
      <c r="L106" s="340">
        <f t="shared" si="46"/>
        <v>0</v>
      </c>
      <c r="M106" s="341">
        <f t="shared" si="46"/>
        <v>0</v>
      </c>
      <c r="N106" s="341">
        <f t="shared" si="46"/>
        <v>0</v>
      </c>
      <c r="O106" s="341">
        <f t="shared" si="46"/>
        <v>0</v>
      </c>
      <c r="P106" s="342">
        <f t="shared" si="46"/>
        <v>0</v>
      </c>
      <c r="AK106" s="349"/>
      <c r="AL106" s="349"/>
      <c r="AM106" s="349"/>
      <c r="AN106" s="349"/>
      <c r="AO106" s="349"/>
      <c r="AP106" s="349"/>
      <c r="AQ106" s="349"/>
      <c r="AR106" s="349"/>
      <c r="AS106" s="349"/>
      <c r="AT106" s="349"/>
      <c r="AU106" s="349"/>
      <c r="AV106" s="349"/>
    </row>
    <row r="107" spans="2:48" x14ac:dyDescent="0.25">
      <c r="B107" s="224" t="s">
        <v>307</v>
      </c>
      <c r="C107" s="331"/>
      <c r="D107" s="225"/>
      <c r="E107" s="225"/>
      <c r="F107" s="225"/>
      <c r="G107" s="225"/>
      <c r="H107" s="225"/>
      <c r="I107" s="225"/>
      <c r="J107" s="225"/>
      <c r="K107" s="226">
        <v>0</v>
      </c>
      <c r="L107" s="226">
        <v>0</v>
      </c>
      <c r="M107" s="227">
        <v>0</v>
      </c>
      <c r="N107" s="444">
        <v>0</v>
      </c>
      <c r="O107" s="332">
        <v>0</v>
      </c>
      <c r="P107" s="363">
        <v>0</v>
      </c>
      <c r="Q107" s="319"/>
      <c r="AB107" s="183"/>
      <c r="AK107" s="349"/>
      <c r="AL107" s="349"/>
      <c r="AM107" s="349"/>
      <c r="AN107" s="349"/>
      <c r="AO107" s="349"/>
      <c r="AP107" s="349"/>
      <c r="AQ107" s="349"/>
      <c r="AR107" s="349"/>
      <c r="AS107" s="349"/>
      <c r="AT107" s="349"/>
      <c r="AU107" s="349"/>
      <c r="AV107" s="349"/>
    </row>
    <row r="108" spans="2:48" x14ac:dyDescent="0.25">
      <c r="N108" s="305"/>
      <c r="O108" s="320"/>
      <c r="P108" s="321"/>
      <c r="Q108" s="305"/>
      <c r="AK108" s="349"/>
      <c r="AL108" s="349"/>
      <c r="AM108" s="349"/>
      <c r="AN108" s="349"/>
      <c r="AO108" s="349"/>
      <c r="AP108" s="349"/>
      <c r="AQ108" s="349"/>
      <c r="AR108" s="349"/>
      <c r="AS108" s="349"/>
      <c r="AT108" s="349"/>
      <c r="AU108" s="349"/>
      <c r="AV108" s="349"/>
    </row>
    <row r="109" spans="2:48" x14ac:dyDescent="0.25">
      <c r="N109" s="305"/>
      <c r="O109" s="305"/>
      <c r="P109" s="321"/>
      <c r="Q109" s="305"/>
      <c r="AK109" s="349"/>
      <c r="AL109" s="349"/>
      <c r="AM109" s="349"/>
      <c r="AN109" s="349"/>
      <c r="AO109" s="349"/>
      <c r="AP109" s="349"/>
      <c r="AQ109" s="349"/>
      <c r="AR109" s="349"/>
      <c r="AS109" s="349"/>
      <c r="AT109" s="349"/>
      <c r="AU109" s="349"/>
      <c r="AV109" s="349"/>
    </row>
    <row r="110" spans="2:48" outlineLevel="1" x14ac:dyDescent="0.25">
      <c r="C110" s="23" t="s">
        <v>293</v>
      </c>
      <c r="D110" t="s">
        <v>3</v>
      </c>
      <c r="E110" t="s">
        <v>27</v>
      </c>
      <c r="F110" s="23" t="str">
        <f t="shared" ref="F110:F132" si="47">D110&amp;E110</f>
        <v>SubtransmissionAugmentation</v>
      </c>
      <c r="K110" s="232">
        <f t="shared" ref="K110:O114" si="48">SUMIF($F$17:$F$71,$F110,K$17:K$71)</f>
        <v>0</v>
      </c>
      <c r="L110" s="232">
        <f t="shared" si="48"/>
        <v>0</v>
      </c>
      <c r="M110" s="233">
        <f t="shared" si="48"/>
        <v>0</v>
      </c>
      <c r="N110" s="233">
        <f t="shared" si="48"/>
        <v>0</v>
      </c>
      <c r="O110" s="233">
        <f t="shared" si="48"/>
        <v>0</v>
      </c>
      <c r="P110" s="233">
        <f>SUM(K110:O110)</f>
        <v>0</v>
      </c>
      <c r="AK110" s="349"/>
      <c r="AL110" s="349"/>
      <c r="AM110" s="349"/>
      <c r="AN110" s="349"/>
      <c r="AO110" s="349"/>
      <c r="AP110" s="349"/>
      <c r="AQ110" s="349"/>
      <c r="AR110" s="349"/>
      <c r="AS110" s="349"/>
      <c r="AT110" s="349"/>
      <c r="AU110" s="349"/>
      <c r="AV110" s="349"/>
    </row>
    <row r="111" spans="2:48" outlineLevel="1" x14ac:dyDescent="0.25">
      <c r="D111" t="s">
        <v>3</v>
      </c>
      <c r="E111" t="s">
        <v>28</v>
      </c>
      <c r="F111" s="23" t="str">
        <f t="shared" si="47"/>
        <v>SubtransmissionReplacement</v>
      </c>
      <c r="K111" s="232">
        <f t="shared" si="48"/>
        <v>0</v>
      </c>
      <c r="L111" s="232">
        <f t="shared" si="48"/>
        <v>0</v>
      </c>
      <c r="M111" s="233">
        <f t="shared" si="48"/>
        <v>0</v>
      </c>
      <c r="N111" s="233">
        <f t="shared" si="48"/>
        <v>0</v>
      </c>
      <c r="O111" s="233">
        <f t="shared" si="48"/>
        <v>0</v>
      </c>
      <c r="P111" s="233">
        <f t="shared" ref="P111:P120" si="49">SUM(K111:O111)</f>
        <v>0</v>
      </c>
      <c r="AK111" s="349"/>
      <c r="AL111" s="349"/>
      <c r="AM111" s="349"/>
      <c r="AN111" s="349"/>
      <c r="AO111" s="349"/>
      <c r="AP111" s="349"/>
      <c r="AQ111" s="349"/>
      <c r="AR111" s="349"/>
      <c r="AS111" s="349"/>
      <c r="AT111" s="349"/>
      <c r="AU111" s="349"/>
      <c r="AV111" s="349"/>
    </row>
    <row r="112" spans="2:48" outlineLevel="1" x14ac:dyDescent="0.25">
      <c r="D112" t="s">
        <v>2</v>
      </c>
      <c r="E112" t="s">
        <v>27</v>
      </c>
      <c r="F112" s="23" t="str">
        <f t="shared" si="47"/>
        <v>SCADA/Network controlAugmentation</v>
      </c>
      <c r="K112" s="232">
        <f t="shared" si="48"/>
        <v>0</v>
      </c>
      <c r="L112" s="232">
        <f t="shared" si="48"/>
        <v>0</v>
      </c>
      <c r="M112" s="233">
        <f t="shared" si="48"/>
        <v>0</v>
      </c>
      <c r="N112" s="233">
        <f t="shared" si="48"/>
        <v>0</v>
      </c>
      <c r="O112" s="233">
        <f t="shared" si="48"/>
        <v>0</v>
      </c>
      <c r="P112" s="233">
        <f t="shared" si="49"/>
        <v>0</v>
      </c>
    </row>
    <row r="113" spans="2:37" outlineLevel="1" x14ac:dyDescent="0.25">
      <c r="D113" t="s">
        <v>2</v>
      </c>
      <c r="E113" t="s">
        <v>28</v>
      </c>
      <c r="F113" s="23" t="str">
        <f t="shared" si="47"/>
        <v>SCADA/Network controlReplacement</v>
      </c>
      <c r="K113" s="232">
        <f t="shared" si="48"/>
        <v>0</v>
      </c>
      <c r="L113" s="232">
        <f t="shared" si="48"/>
        <v>0</v>
      </c>
      <c r="M113" s="233">
        <f t="shared" si="48"/>
        <v>0</v>
      </c>
      <c r="N113" s="233">
        <f t="shared" si="48"/>
        <v>0</v>
      </c>
      <c r="O113" s="233">
        <f t="shared" si="48"/>
        <v>0</v>
      </c>
      <c r="P113" s="233">
        <f t="shared" si="49"/>
        <v>0</v>
      </c>
    </row>
    <row r="114" spans="2:37" outlineLevel="1" x14ac:dyDescent="0.25">
      <c r="D114" t="s">
        <v>4</v>
      </c>
      <c r="E114" t="s">
        <v>29</v>
      </c>
      <c r="F114" s="23" t="str">
        <f t="shared" si="47"/>
        <v>LandNon-Network</v>
      </c>
      <c r="K114" s="337">
        <f t="shared" si="48"/>
        <v>0</v>
      </c>
      <c r="L114" s="337">
        <f t="shared" si="48"/>
        <v>0</v>
      </c>
      <c r="M114" s="338">
        <f t="shared" si="48"/>
        <v>0</v>
      </c>
      <c r="N114" s="338">
        <f t="shared" si="48"/>
        <v>0</v>
      </c>
      <c r="O114" s="338">
        <f t="shared" si="48"/>
        <v>0</v>
      </c>
      <c r="P114" s="338">
        <f t="shared" si="49"/>
        <v>0</v>
      </c>
    </row>
    <row r="115" spans="2:37" outlineLevel="1" x14ac:dyDescent="0.25">
      <c r="K115" s="232">
        <f>SUM(K110:K114)</f>
        <v>0</v>
      </c>
      <c r="L115" s="232">
        <f t="shared" ref="L115:P115" si="50">SUM(L110:L114)</f>
        <v>0</v>
      </c>
      <c r="M115" s="233">
        <f t="shared" si="50"/>
        <v>0</v>
      </c>
      <c r="N115" s="233">
        <f t="shared" si="50"/>
        <v>0</v>
      </c>
      <c r="O115" s="233">
        <f t="shared" si="50"/>
        <v>0</v>
      </c>
      <c r="P115" s="233">
        <f t="shared" si="50"/>
        <v>0</v>
      </c>
    </row>
    <row r="116" spans="2:37" outlineLevel="1" x14ac:dyDescent="0.25">
      <c r="C116" s="23" t="s">
        <v>331</v>
      </c>
      <c r="D116" t="s">
        <v>3</v>
      </c>
      <c r="E116" t="s">
        <v>27</v>
      </c>
      <c r="F116" s="23" t="str">
        <f t="shared" ref="F116:F120" si="51">D116&amp;E116</f>
        <v>SubtransmissionAugmentation</v>
      </c>
      <c r="K116" s="4"/>
      <c r="L116" s="232">
        <f t="shared" ref="L116:N120" si="52">IF(ISERROR($P110/$P$115*SUM(L$7:L$13)),0,$P110/$P$115*SUM(L$7:L$13))</f>
        <v>0</v>
      </c>
      <c r="M116" s="233">
        <f t="shared" si="52"/>
        <v>0</v>
      </c>
      <c r="N116" s="233">
        <f t="shared" si="52"/>
        <v>0</v>
      </c>
      <c r="O116" s="233"/>
      <c r="P116" s="233">
        <f>SUM(K116:O116)</f>
        <v>0</v>
      </c>
    </row>
    <row r="117" spans="2:37" outlineLevel="1" x14ac:dyDescent="0.25">
      <c r="D117" t="s">
        <v>3</v>
      </c>
      <c r="E117" t="s">
        <v>28</v>
      </c>
      <c r="F117" s="23" t="str">
        <f t="shared" si="51"/>
        <v>SubtransmissionReplacement</v>
      </c>
      <c r="K117" s="4"/>
      <c r="L117" s="232">
        <f t="shared" si="52"/>
        <v>0</v>
      </c>
      <c r="M117" s="233">
        <f t="shared" si="52"/>
        <v>0</v>
      </c>
      <c r="N117" s="233">
        <f t="shared" si="52"/>
        <v>0</v>
      </c>
      <c r="O117" s="233"/>
      <c r="P117" s="233">
        <f t="shared" si="49"/>
        <v>0</v>
      </c>
    </row>
    <row r="118" spans="2:37" outlineLevel="1" x14ac:dyDescent="0.25">
      <c r="D118" t="s">
        <v>2</v>
      </c>
      <c r="E118" t="s">
        <v>27</v>
      </c>
      <c r="F118" s="23" t="str">
        <f t="shared" si="51"/>
        <v>SCADA/Network controlAugmentation</v>
      </c>
      <c r="K118" s="4"/>
      <c r="L118" s="232">
        <f t="shared" si="52"/>
        <v>0</v>
      </c>
      <c r="M118" s="233">
        <f t="shared" si="52"/>
        <v>0</v>
      </c>
      <c r="N118" s="233">
        <f t="shared" si="52"/>
        <v>0</v>
      </c>
      <c r="O118" s="233"/>
      <c r="P118" s="233">
        <f t="shared" si="49"/>
        <v>0</v>
      </c>
    </row>
    <row r="119" spans="2:37" outlineLevel="1" x14ac:dyDescent="0.25">
      <c r="D119" t="s">
        <v>2</v>
      </c>
      <c r="E119" t="s">
        <v>28</v>
      </c>
      <c r="F119" s="23" t="str">
        <f t="shared" si="51"/>
        <v>SCADA/Network controlReplacement</v>
      </c>
      <c r="K119" s="4"/>
      <c r="L119" s="232">
        <f t="shared" si="52"/>
        <v>0</v>
      </c>
      <c r="M119" s="233">
        <f t="shared" si="52"/>
        <v>0</v>
      </c>
      <c r="N119" s="233">
        <f t="shared" si="52"/>
        <v>0</v>
      </c>
      <c r="O119" s="233"/>
      <c r="P119" s="233">
        <f t="shared" si="49"/>
        <v>0</v>
      </c>
    </row>
    <row r="120" spans="2:37" outlineLevel="1" x14ac:dyDescent="0.25">
      <c r="D120" t="s">
        <v>4</v>
      </c>
      <c r="E120" t="s">
        <v>29</v>
      </c>
      <c r="F120" s="23" t="str">
        <f t="shared" si="51"/>
        <v>LandNon-Network</v>
      </c>
      <c r="K120" s="230"/>
      <c r="L120" s="337">
        <f t="shared" si="52"/>
        <v>0</v>
      </c>
      <c r="M120" s="338">
        <f t="shared" si="52"/>
        <v>0</v>
      </c>
      <c r="N120" s="338">
        <f t="shared" si="52"/>
        <v>0</v>
      </c>
      <c r="O120" s="338"/>
      <c r="P120" s="338">
        <f t="shared" si="49"/>
        <v>0</v>
      </c>
    </row>
    <row r="121" spans="2:37" s="108" customFormat="1" outlineLevel="1" x14ac:dyDescent="0.25">
      <c r="B121"/>
      <c r="C121" s="23"/>
      <c r="D121"/>
      <c r="E121"/>
      <c r="F121"/>
      <c r="G121"/>
      <c r="H121"/>
      <c r="I121"/>
      <c r="J121"/>
      <c r="K121" s="232">
        <f>SUM(K116:K120)</f>
        <v>0</v>
      </c>
      <c r="L121" s="232">
        <f t="shared" ref="L121:P121" si="53">SUM(L116:L120)</f>
        <v>0</v>
      </c>
      <c r="M121" s="233">
        <f t="shared" si="53"/>
        <v>0</v>
      </c>
      <c r="N121" s="233">
        <f t="shared" si="53"/>
        <v>0</v>
      </c>
      <c r="O121" s="233">
        <f t="shared" si="53"/>
        <v>0</v>
      </c>
      <c r="P121" s="233">
        <f t="shared" si="53"/>
        <v>0</v>
      </c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 s="273"/>
    </row>
    <row r="122" spans="2:37" s="108" customFormat="1" outlineLevel="1" x14ac:dyDescent="0.25">
      <c r="B122"/>
      <c r="C122" s="23" t="s">
        <v>332</v>
      </c>
      <c r="D122" t="s">
        <v>3</v>
      </c>
      <c r="E122" t="s">
        <v>27</v>
      </c>
      <c r="F122" s="23" t="str">
        <f t="shared" ref="F122:F126" si="54">D122&amp;E122</f>
        <v>SubtransmissionAugmentation</v>
      </c>
      <c r="G122"/>
      <c r="H122"/>
      <c r="I122"/>
      <c r="J122"/>
      <c r="K122" s="232">
        <f>K110+K116</f>
        <v>0</v>
      </c>
      <c r="L122" s="232">
        <f t="shared" ref="L122:P122" si="55">L110+L116</f>
        <v>0</v>
      </c>
      <c r="M122" s="233">
        <f t="shared" si="55"/>
        <v>0</v>
      </c>
      <c r="N122" s="233">
        <f t="shared" si="55"/>
        <v>0</v>
      </c>
      <c r="O122" s="233">
        <f t="shared" si="55"/>
        <v>0</v>
      </c>
      <c r="P122" s="233">
        <f t="shared" si="55"/>
        <v>0</v>
      </c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 s="273"/>
    </row>
    <row r="123" spans="2:37" s="108" customFormat="1" outlineLevel="1" x14ac:dyDescent="0.25">
      <c r="B123"/>
      <c r="C123" s="23"/>
      <c r="D123" t="s">
        <v>3</v>
      </c>
      <c r="E123" t="s">
        <v>28</v>
      </c>
      <c r="F123" s="23" t="str">
        <f t="shared" si="54"/>
        <v>SubtransmissionReplacement</v>
      </c>
      <c r="G123"/>
      <c r="H123"/>
      <c r="I123"/>
      <c r="J123"/>
      <c r="K123" s="232">
        <f t="shared" ref="K123:P126" si="56">K111+K117</f>
        <v>0</v>
      </c>
      <c r="L123" s="232">
        <f t="shared" si="56"/>
        <v>0</v>
      </c>
      <c r="M123" s="233">
        <f t="shared" si="56"/>
        <v>0</v>
      </c>
      <c r="N123" s="233">
        <f t="shared" si="56"/>
        <v>0</v>
      </c>
      <c r="O123" s="233">
        <f t="shared" si="56"/>
        <v>0</v>
      </c>
      <c r="P123" s="233">
        <f t="shared" si="56"/>
        <v>0</v>
      </c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 s="273"/>
    </row>
    <row r="124" spans="2:37" s="108" customFormat="1" outlineLevel="1" x14ac:dyDescent="0.25">
      <c r="B124"/>
      <c r="C124" s="23"/>
      <c r="D124" t="s">
        <v>2</v>
      </c>
      <c r="E124" t="s">
        <v>27</v>
      </c>
      <c r="F124" s="23" t="str">
        <f t="shared" si="54"/>
        <v>SCADA/Network controlAugmentation</v>
      </c>
      <c r="G124"/>
      <c r="H124"/>
      <c r="I124"/>
      <c r="J124"/>
      <c r="K124" s="232">
        <f t="shared" si="56"/>
        <v>0</v>
      </c>
      <c r="L124" s="232">
        <f t="shared" si="56"/>
        <v>0</v>
      </c>
      <c r="M124" s="233">
        <f t="shared" si="56"/>
        <v>0</v>
      </c>
      <c r="N124" s="233">
        <f t="shared" si="56"/>
        <v>0</v>
      </c>
      <c r="O124" s="233">
        <f t="shared" si="56"/>
        <v>0</v>
      </c>
      <c r="P124" s="233">
        <f t="shared" si="56"/>
        <v>0</v>
      </c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 s="273"/>
    </row>
    <row r="125" spans="2:37" s="108" customFormat="1" outlineLevel="1" x14ac:dyDescent="0.25">
      <c r="B125"/>
      <c r="C125" s="23"/>
      <c r="D125" t="s">
        <v>2</v>
      </c>
      <c r="E125" t="s">
        <v>28</v>
      </c>
      <c r="F125" s="23" t="str">
        <f t="shared" si="54"/>
        <v>SCADA/Network controlReplacement</v>
      </c>
      <c r="G125"/>
      <c r="H125"/>
      <c r="I125"/>
      <c r="J125"/>
      <c r="K125" s="232">
        <f t="shared" si="56"/>
        <v>0</v>
      </c>
      <c r="L125" s="232">
        <f t="shared" si="56"/>
        <v>0</v>
      </c>
      <c r="M125" s="233">
        <f t="shared" si="56"/>
        <v>0</v>
      </c>
      <c r="N125" s="233">
        <f t="shared" si="56"/>
        <v>0</v>
      </c>
      <c r="O125" s="233">
        <f t="shared" si="56"/>
        <v>0</v>
      </c>
      <c r="P125" s="233">
        <f t="shared" si="56"/>
        <v>0</v>
      </c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 s="273"/>
    </row>
    <row r="126" spans="2:37" s="108" customFormat="1" outlineLevel="1" x14ac:dyDescent="0.25">
      <c r="B126"/>
      <c r="C126" s="23"/>
      <c r="D126" t="s">
        <v>4</v>
      </c>
      <c r="E126" t="s">
        <v>29</v>
      </c>
      <c r="F126" s="23" t="str">
        <f t="shared" si="54"/>
        <v>LandNon-Network</v>
      </c>
      <c r="G126"/>
      <c r="H126"/>
      <c r="I126"/>
      <c r="J126"/>
      <c r="K126" s="337">
        <f t="shared" si="56"/>
        <v>0</v>
      </c>
      <c r="L126" s="337">
        <f t="shared" si="56"/>
        <v>0</v>
      </c>
      <c r="M126" s="338">
        <f t="shared" si="56"/>
        <v>0</v>
      </c>
      <c r="N126" s="338">
        <f t="shared" si="56"/>
        <v>0</v>
      </c>
      <c r="O126" s="338">
        <f t="shared" si="56"/>
        <v>0</v>
      </c>
      <c r="P126" s="338">
        <f t="shared" si="56"/>
        <v>0</v>
      </c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 s="273"/>
    </row>
    <row r="127" spans="2:37" s="108" customFormat="1" outlineLevel="1" x14ac:dyDescent="0.25">
      <c r="B127"/>
      <c r="C127" s="23"/>
      <c r="D127"/>
      <c r="E127"/>
      <c r="F127"/>
      <c r="G127"/>
      <c r="H127"/>
      <c r="I127"/>
      <c r="J127"/>
      <c r="K127" s="232">
        <f>SUM(K122:K126)</f>
        <v>0</v>
      </c>
      <c r="L127" s="232">
        <f t="shared" ref="L127:P127" si="57">SUM(L122:L126)</f>
        <v>0</v>
      </c>
      <c r="M127" s="233">
        <f t="shared" si="57"/>
        <v>0</v>
      </c>
      <c r="N127" s="233">
        <f t="shared" si="57"/>
        <v>0</v>
      </c>
      <c r="O127" s="233">
        <f t="shared" si="57"/>
        <v>0</v>
      </c>
      <c r="P127" s="233">
        <f t="shared" si="57"/>
        <v>0</v>
      </c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 s="273"/>
    </row>
    <row r="128" spans="2:37" s="108" customFormat="1" outlineLevel="1" x14ac:dyDescent="0.25">
      <c r="B128"/>
      <c r="C128" s="23"/>
      <c r="D128"/>
      <c r="E128"/>
      <c r="F128"/>
      <c r="G128"/>
      <c r="H128"/>
      <c r="I128"/>
      <c r="J128"/>
      <c r="K128" s="96">
        <f t="shared" ref="K128:P128" si="58">K73-K127</f>
        <v>0</v>
      </c>
      <c r="L128" s="96">
        <f t="shared" si="58"/>
        <v>0</v>
      </c>
      <c r="M128" s="339">
        <f t="shared" si="58"/>
        <v>0</v>
      </c>
      <c r="N128" s="339">
        <f t="shared" si="58"/>
        <v>0</v>
      </c>
      <c r="O128" s="339">
        <f t="shared" si="58"/>
        <v>0</v>
      </c>
      <c r="P128" s="339">
        <f t="shared" si="58"/>
        <v>0</v>
      </c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 s="273"/>
    </row>
    <row r="129" spans="2:37" s="108" customFormat="1" outlineLevel="1" x14ac:dyDescent="0.25">
      <c r="B129"/>
      <c r="C129" s="23" t="s">
        <v>360</v>
      </c>
      <c r="D129" t="s">
        <v>3</v>
      </c>
      <c r="E129" t="s">
        <v>27</v>
      </c>
      <c r="F129" s="23" t="str">
        <f t="shared" ref="F129:F130" si="59">D129&amp;E129</f>
        <v>SubtransmissionAugmentation</v>
      </c>
      <c r="G129"/>
      <c r="H129"/>
      <c r="I129"/>
      <c r="J129"/>
      <c r="K129" s="232">
        <f t="shared" ref="K129:P132" si="60">SUMIF($F$79:$F$93,$F129,K$79:K$93)</f>
        <v>0</v>
      </c>
      <c r="L129" s="232">
        <f t="shared" si="60"/>
        <v>0</v>
      </c>
      <c r="M129" s="233">
        <f t="shared" si="60"/>
        <v>0</v>
      </c>
      <c r="N129" s="233">
        <f t="shared" si="60"/>
        <v>0</v>
      </c>
      <c r="O129" s="233">
        <f t="shared" si="60"/>
        <v>0</v>
      </c>
      <c r="P129" s="233">
        <f t="shared" si="60"/>
        <v>0</v>
      </c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 s="273"/>
    </row>
    <row r="130" spans="2:37" s="108" customFormat="1" outlineLevel="1" x14ac:dyDescent="0.25">
      <c r="B130"/>
      <c r="C130" s="23"/>
      <c r="D130" t="s">
        <v>3</v>
      </c>
      <c r="E130" t="s">
        <v>28</v>
      </c>
      <c r="F130" s="23" t="str">
        <f t="shared" si="59"/>
        <v>SubtransmissionReplacement</v>
      </c>
      <c r="G130"/>
      <c r="H130"/>
      <c r="I130"/>
      <c r="J130"/>
      <c r="K130" s="232">
        <f t="shared" si="60"/>
        <v>0</v>
      </c>
      <c r="L130" s="232">
        <f t="shared" si="60"/>
        <v>0</v>
      </c>
      <c r="M130" s="233">
        <f t="shared" si="60"/>
        <v>0</v>
      </c>
      <c r="N130" s="233">
        <f t="shared" si="60"/>
        <v>0</v>
      </c>
      <c r="O130" s="233">
        <f t="shared" si="60"/>
        <v>0</v>
      </c>
      <c r="P130" s="233">
        <f t="shared" si="60"/>
        <v>0</v>
      </c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 s="273"/>
    </row>
    <row r="131" spans="2:37" s="108" customFormat="1" outlineLevel="1" x14ac:dyDescent="0.25">
      <c r="B131"/>
      <c r="C131" s="305"/>
      <c r="D131" t="s">
        <v>92</v>
      </c>
      <c r="E131" t="s">
        <v>27</v>
      </c>
      <c r="F131" s="23" t="str">
        <f t="shared" si="47"/>
        <v>Distribution system assetsAugmentation</v>
      </c>
      <c r="G131"/>
      <c r="H131"/>
      <c r="I131"/>
      <c r="J131"/>
      <c r="K131" s="232">
        <f t="shared" si="60"/>
        <v>0</v>
      </c>
      <c r="L131" s="232">
        <f t="shared" si="60"/>
        <v>0</v>
      </c>
      <c r="M131" s="233">
        <f t="shared" si="60"/>
        <v>0</v>
      </c>
      <c r="N131" s="233">
        <f t="shared" si="60"/>
        <v>0</v>
      </c>
      <c r="O131" s="233">
        <f t="shared" si="60"/>
        <v>0</v>
      </c>
      <c r="P131" s="233">
        <f t="shared" si="60"/>
        <v>0</v>
      </c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 s="273"/>
    </row>
    <row r="132" spans="2:37" s="108" customFormat="1" outlineLevel="1" x14ac:dyDescent="0.25">
      <c r="B132"/>
      <c r="C132" s="23"/>
      <c r="D132" t="s">
        <v>92</v>
      </c>
      <c r="E132" t="s">
        <v>28</v>
      </c>
      <c r="F132" s="23" t="str">
        <f t="shared" si="47"/>
        <v>Distribution system assetsReplacement</v>
      </c>
      <c r="G132"/>
      <c r="H132"/>
      <c r="I132"/>
      <c r="J132"/>
      <c r="K132" s="337">
        <f t="shared" si="60"/>
        <v>0</v>
      </c>
      <c r="L132" s="337">
        <f t="shared" si="60"/>
        <v>0</v>
      </c>
      <c r="M132" s="338">
        <f t="shared" si="60"/>
        <v>0</v>
      </c>
      <c r="N132" s="338">
        <f t="shared" si="60"/>
        <v>0</v>
      </c>
      <c r="O132" s="338">
        <f t="shared" si="60"/>
        <v>0</v>
      </c>
      <c r="P132" s="338">
        <f t="shared" si="60"/>
        <v>0</v>
      </c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 s="273"/>
    </row>
    <row r="133" spans="2:37" s="108" customFormat="1" outlineLevel="1" x14ac:dyDescent="0.25">
      <c r="B133"/>
      <c r="C133" s="23"/>
      <c r="D133"/>
      <c r="E133"/>
      <c r="F133"/>
      <c r="G133"/>
      <c r="H133"/>
      <c r="I133"/>
      <c r="J133"/>
      <c r="K133" s="304">
        <f>SUM(K129:K132)</f>
        <v>0</v>
      </c>
      <c r="L133" s="304">
        <f t="shared" ref="L133:P133" si="61">SUM(L129:L132)</f>
        <v>0</v>
      </c>
      <c r="M133" s="304">
        <f t="shared" si="61"/>
        <v>0</v>
      </c>
      <c r="N133" s="304">
        <f t="shared" si="61"/>
        <v>0</v>
      </c>
      <c r="O133" s="304">
        <f t="shared" si="61"/>
        <v>0</v>
      </c>
      <c r="P133" s="304">
        <f t="shared" si="61"/>
        <v>0</v>
      </c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 s="273"/>
    </row>
    <row r="134" spans="2:37" s="108" customFormat="1" outlineLevel="1" x14ac:dyDescent="0.25">
      <c r="B134"/>
      <c r="C134" s="23"/>
      <c r="D134"/>
      <c r="E134"/>
      <c r="F134"/>
      <c r="G134"/>
      <c r="H134"/>
      <c r="I134"/>
      <c r="J134"/>
      <c r="K134" s="336">
        <f t="shared" ref="K134:P134" si="62">K133-K94</f>
        <v>0</v>
      </c>
      <c r="L134" s="336">
        <f t="shared" si="62"/>
        <v>0</v>
      </c>
      <c r="M134" s="314">
        <f t="shared" si="62"/>
        <v>0</v>
      </c>
      <c r="N134" s="314">
        <f t="shared" si="62"/>
        <v>0</v>
      </c>
      <c r="O134" s="314">
        <f t="shared" si="62"/>
        <v>0</v>
      </c>
      <c r="P134" s="314">
        <f t="shared" si="62"/>
        <v>0</v>
      </c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 s="273"/>
    </row>
    <row r="135" spans="2:37" outlineLevel="1" x14ac:dyDescent="0.25">
      <c r="C135" s="23" t="s">
        <v>369</v>
      </c>
      <c r="D135" t="s">
        <v>3</v>
      </c>
      <c r="E135" t="s">
        <v>27</v>
      </c>
      <c r="F135" s="23" t="str">
        <f t="shared" ref="F135:F138" si="63">D135&amp;E135</f>
        <v>SubtransmissionAugmentation</v>
      </c>
      <c r="K135" s="232">
        <f t="shared" ref="K135:P138" si="64">SUMIF($F$97:$F$101,$F135,K$97:K$101)</f>
        <v>0</v>
      </c>
      <c r="L135" s="232">
        <f t="shared" si="64"/>
        <v>0</v>
      </c>
      <c r="M135" s="232">
        <f t="shared" si="64"/>
        <v>0</v>
      </c>
      <c r="N135" s="232">
        <f t="shared" si="64"/>
        <v>0</v>
      </c>
      <c r="O135" s="232">
        <f t="shared" si="64"/>
        <v>0</v>
      </c>
      <c r="P135" s="232">
        <f t="shared" si="64"/>
        <v>0</v>
      </c>
    </row>
    <row r="136" spans="2:37" outlineLevel="1" x14ac:dyDescent="0.25">
      <c r="D136" t="s">
        <v>3</v>
      </c>
      <c r="E136" t="s">
        <v>28</v>
      </c>
      <c r="F136" s="23" t="str">
        <f t="shared" si="63"/>
        <v>SubtransmissionReplacement</v>
      </c>
      <c r="K136" s="232">
        <f t="shared" si="64"/>
        <v>0</v>
      </c>
      <c r="L136" s="232">
        <f t="shared" si="64"/>
        <v>0</v>
      </c>
      <c r="M136" s="232">
        <f t="shared" si="64"/>
        <v>0</v>
      </c>
      <c r="N136" s="232">
        <f t="shared" si="64"/>
        <v>0</v>
      </c>
      <c r="O136" s="232">
        <f t="shared" si="64"/>
        <v>0</v>
      </c>
      <c r="P136" s="232">
        <f t="shared" si="64"/>
        <v>0</v>
      </c>
    </row>
    <row r="137" spans="2:37" outlineLevel="1" x14ac:dyDescent="0.25">
      <c r="D137" t="s">
        <v>92</v>
      </c>
      <c r="E137" t="s">
        <v>27</v>
      </c>
      <c r="F137" s="23" t="str">
        <f t="shared" si="63"/>
        <v>Distribution system assetsAugmentation</v>
      </c>
      <c r="K137" s="232">
        <f t="shared" si="64"/>
        <v>0</v>
      </c>
      <c r="L137" s="232">
        <f t="shared" si="64"/>
        <v>0</v>
      </c>
      <c r="M137" s="232">
        <f t="shared" si="64"/>
        <v>0</v>
      </c>
      <c r="N137" s="232">
        <f t="shared" si="64"/>
        <v>0</v>
      </c>
      <c r="O137" s="232">
        <f t="shared" si="64"/>
        <v>0</v>
      </c>
      <c r="P137" s="232">
        <f t="shared" si="64"/>
        <v>0</v>
      </c>
    </row>
    <row r="138" spans="2:37" outlineLevel="1" x14ac:dyDescent="0.25">
      <c r="D138" t="s">
        <v>92</v>
      </c>
      <c r="E138" t="s">
        <v>28</v>
      </c>
      <c r="F138" s="23" t="str">
        <f t="shared" si="63"/>
        <v>Distribution system assetsReplacement</v>
      </c>
      <c r="K138" s="337">
        <f t="shared" si="64"/>
        <v>0</v>
      </c>
      <c r="L138" s="337">
        <f t="shared" si="64"/>
        <v>0</v>
      </c>
      <c r="M138" s="337">
        <f t="shared" si="64"/>
        <v>0</v>
      </c>
      <c r="N138" s="337">
        <f t="shared" si="64"/>
        <v>0</v>
      </c>
      <c r="O138" s="337">
        <f t="shared" si="64"/>
        <v>0</v>
      </c>
      <c r="P138" s="337">
        <f t="shared" si="64"/>
        <v>0</v>
      </c>
    </row>
    <row r="139" spans="2:37" outlineLevel="1" x14ac:dyDescent="0.25">
      <c r="K139" s="304">
        <f>SUM(K135:K138)</f>
        <v>0</v>
      </c>
      <c r="L139" s="304">
        <f t="shared" ref="L139:P139" si="65">SUM(L135:L138)</f>
        <v>0</v>
      </c>
      <c r="M139" s="304">
        <f t="shared" si="65"/>
        <v>0</v>
      </c>
      <c r="N139" s="304">
        <f t="shared" si="65"/>
        <v>0</v>
      </c>
      <c r="O139" s="304">
        <f t="shared" si="65"/>
        <v>0</v>
      </c>
      <c r="P139" s="304">
        <f t="shared" si="65"/>
        <v>0</v>
      </c>
    </row>
    <row r="140" spans="2:37" outlineLevel="1" x14ac:dyDescent="0.25">
      <c r="K140" s="336">
        <f t="shared" ref="K140:P140" si="66">K139-K102</f>
        <v>0</v>
      </c>
      <c r="L140" s="336">
        <f t="shared" si="66"/>
        <v>0</v>
      </c>
      <c r="M140" s="336">
        <f t="shared" si="66"/>
        <v>0</v>
      </c>
      <c r="N140" s="336">
        <f t="shared" si="66"/>
        <v>0</v>
      </c>
      <c r="O140" s="336">
        <f t="shared" si="66"/>
        <v>0</v>
      </c>
      <c r="P140" s="336">
        <f t="shared" si="66"/>
        <v>0</v>
      </c>
    </row>
  </sheetData>
  <mergeCells count="3">
    <mergeCell ref="G3:I3"/>
    <mergeCell ref="K3:P3"/>
    <mergeCell ref="R3:X3"/>
  </mergeCells>
  <pageMargins left="0.25" right="0.25" top="0.75" bottom="0.75" header="0.3" footer="0.3"/>
  <pageSetup paperSize="9" scale="65" fitToHeight="0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A1:AK139"/>
  <sheetViews>
    <sheetView zoomScale="85" zoomScaleNormal="85" workbookViewId="0">
      <pane xSplit="3" ySplit="4" topLeftCell="G5" activePane="bottomRight" state="frozen"/>
      <selection activeCell="K4" sqref="K4:P4"/>
      <selection pane="topRight" activeCell="K4" sqref="K4:P4"/>
      <selection pane="bottomLeft" activeCell="K4" sqref="K4:P4"/>
      <selection pane="bottomRight" activeCell="N15" sqref="N15"/>
    </sheetView>
  </sheetViews>
  <sheetFormatPr defaultRowHeight="15" outlineLevelRow="1" outlineLevelCol="1" x14ac:dyDescent="0.25"/>
  <cols>
    <col min="1" max="1" width="2.28515625" customWidth="1"/>
    <col min="2" max="2" width="3" customWidth="1"/>
    <col min="3" max="3" width="54.28515625" customWidth="1"/>
    <col min="4" max="4" width="20" hidden="1" customWidth="1" outlineLevel="1"/>
    <col min="5" max="6" width="15.28515625" hidden="1" customWidth="1" outlineLevel="1"/>
    <col min="7" max="7" width="9.28515625" customWidth="1" collapsed="1"/>
    <col min="8" max="8" width="8.7109375" customWidth="1"/>
    <col min="9" max="9" width="10.7109375" customWidth="1"/>
    <col min="10" max="10" width="2.28515625" customWidth="1"/>
    <col min="11" max="11" width="9.7109375" bestFit="1" customWidth="1"/>
    <col min="12" max="12" width="9.5703125" bestFit="1" customWidth="1"/>
    <col min="13" max="13" width="9.42578125" style="108" customWidth="1"/>
    <col min="14" max="14" width="12.28515625" style="108" customWidth="1"/>
    <col min="15" max="15" width="10.42578125" style="108" customWidth="1"/>
    <col min="16" max="16" width="12.140625" style="108" customWidth="1"/>
    <col min="17" max="17" width="9.7109375" style="108" customWidth="1"/>
    <col min="18" max="18" width="9" style="108" customWidth="1"/>
    <col min="19" max="19" width="9.7109375" style="108" customWidth="1"/>
    <col min="20" max="22" width="9" style="108" customWidth="1"/>
    <col min="23" max="23" width="8.85546875" style="108" customWidth="1"/>
    <col min="24" max="24" width="8.85546875" customWidth="1"/>
    <col min="25" max="25" width="9.85546875" customWidth="1"/>
    <col min="26" max="35" width="8.85546875" hidden="1" customWidth="1" outlineLevel="1"/>
    <col min="36" max="36" width="8.85546875" customWidth="1" collapsed="1"/>
  </cols>
  <sheetData>
    <row r="1" spans="2:33" x14ac:dyDescent="0.25">
      <c r="N1" s="452" t="s">
        <v>112</v>
      </c>
      <c r="O1"/>
    </row>
    <row r="2" spans="2:33" x14ac:dyDescent="0.25">
      <c r="B2" s="24" t="str">
        <f>STN_2&amp;" Volumes &amp; Unit Rates"</f>
        <v>WOTS Volumes &amp; Unit Rates</v>
      </c>
    </row>
    <row r="3" spans="2:33" x14ac:dyDescent="0.25">
      <c r="B3" s="23" t="str">
        <f>STN_2</f>
        <v>WOTS</v>
      </c>
      <c r="G3" s="462" t="s">
        <v>21</v>
      </c>
      <c r="H3" s="463"/>
      <c r="I3" s="464"/>
      <c r="K3" s="462" t="s">
        <v>276</v>
      </c>
      <c r="L3" s="463"/>
      <c r="M3" s="463"/>
      <c r="N3" s="463"/>
      <c r="O3" s="463"/>
      <c r="P3" s="464"/>
      <c r="R3" s="462" t="s">
        <v>277</v>
      </c>
      <c r="S3" s="463"/>
      <c r="T3" s="463"/>
      <c r="U3" s="463"/>
      <c r="V3" s="463"/>
      <c r="W3" s="463"/>
      <c r="X3" s="464"/>
    </row>
    <row r="4" spans="2:33" ht="45" customHeight="1" x14ac:dyDescent="0.25">
      <c r="C4" s="323"/>
      <c r="D4" t="s">
        <v>5</v>
      </c>
      <c r="E4" t="s">
        <v>20</v>
      </c>
      <c r="G4" s="109" t="s">
        <v>278</v>
      </c>
      <c r="H4" s="110" t="s">
        <v>279</v>
      </c>
      <c r="I4" s="111" t="s">
        <v>280</v>
      </c>
      <c r="K4" s="111" t="s">
        <v>21</v>
      </c>
      <c r="L4" s="111" t="s">
        <v>22</v>
      </c>
      <c r="M4" s="109" t="s">
        <v>23</v>
      </c>
      <c r="N4" s="109" t="s">
        <v>24</v>
      </c>
      <c r="O4" s="112" t="s">
        <v>25</v>
      </c>
      <c r="P4" s="112" t="s">
        <v>26</v>
      </c>
      <c r="Q4" s="113" t="s">
        <v>281</v>
      </c>
      <c r="R4" s="114" t="s">
        <v>282</v>
      </c>
      <c r="S4" s="114" t="s">
        <v>82</v>
      </c>
      <c r="T4" s="114" t="s">
        <v>83</v>
      </c>
      <c r="U4" s="114" t="s">
        <v>84</v>
      </c>
      <c r="V4" s="114" t="s">
        <v>283</v>
      </c>
      <c r="W4" s="114" t="s">
        <v>85</v>
      </c>
      <c r="X4" s="115" t="s">
        <v>284</v>
      </c>
      <c r="Y4" s="115" t="s">
        <v>285</v>
      </c>
    </row>
    <row r="5" spans="2:33" x14ac:dyDescent="0.25">
      <c r="B5" s="116" t="s">
        <v>286</v>
      </c>
      <c r="C5" s="324"/>
      <c r="D5" s="117"/>
      <c r="E5" s="117"/>
      <c r="F5" s="117"/>
      <c r="G5" s="118"/>
      <c r="H5" s="110"/>
      <c r="I5" s="111"/>
      <c r="J5" s="117"/>
      <c r="K5" s="111"/>
      <c r="L5" s="111"/>
      <c r="M5" s="112"/>
      <c r="N5" s="109"/>
      <c r="O5" s="112"/>
      <c r="P5" s="112"/>
      <c r="R5" s="353">
        <f>Lab_Rates!$C$6*Escalators!C7*(1+Escalators!C17)*Escalators!$G$32</f>
        <v>162.48739067582716</v>
      </c>
      <c r="S5" s="353">
        <f>Lab_Rates!$C$7*Escalators!C7*(1+Escalators!C17)*Escalators!$G$32</f>
        <v>151.79743076294375</v>
      </c>
      <c r="T5" s="353">
        <f>Lab_Rates!$C$8*Escalators!C7*(1+Escalators!C17)*Escalators!$G$32</f>
        <v>176.38433856257552</v>
      </c>
      <c r="U5" s="353">
        <f>Lab_Rates!$C$9*Escalators!C7*(1+Escalators!C17)*Escalators!$G$32</f>
        <v>229.83413812699234</v>
      </c>
      <c r="V5" s="353">
        <f>Lab_Rates!$C$6*Escalators!C7*(1+Escalators!C17)*Escalators!$G$32</f>
        <v>162.48739067582716</v>
      </c>
      <c r="W5" s="353">
        <f>Lab_Rates!$C$10*Escalators!C7*(1+Escalators!C17)*Escalators!$G$32</f>
        <v>162.48739067582716</v>
      </c>
      <c r="X5" s="353">
        <f>Lab_Rates!$C$5*Escalators!C7*(1+Escalators!C17)*Escalators!$G$32</f>
        <v>133.62449891104205</v>
      </c>
    </row>
    <row r="6" spans="2:33" x14ac:dyDescent="0.25">
      <c r="B6" s="120"/>
      <c r="C6" s="23"/>
      <c r="G6" s="121"/>
      <c r="H6" s="122"/>
      <c r="I6" s="123"/>
      <c r="K6" s="121"/>
      <c r="L6" s="121"/>
      <c r="M6" s="124"/>
      <c r="N6" s="125"/>
      <c r="O6" s="124"/>
      <c r="P6" s="126"/>
      <c r="R6" s="127"/>
      <c r="S6" s="127"/>
      <c r="T6" s="127"/>
      <c r="U6" s="127"/>
      <c r="V6" s="127"/>
      <c r="W6" s="127"/>
      <c r="X6" s="127"/>
    </row>
    <row r="7" spans="2:33" x14ac:dyDescent="0.25">
      <c r="B7" s="84" t="s">
        <v>343</v>
      </c>
      <c r="C7" s="23"/>
      <c r="D7" t="s">
        <v>1</v>
      </c>
      <c r="E7" t="s">
        <v>1</v>
      </c>
      <c r="G7" s="128"/>
      <c r="H7" s="129"/>
      <c r="I7" s="130"/>
      <c r="K7" s="131"/>
      <c r="L7" s="352">
        <f>SUMPRODUCT(R$5:X$5,R7:X7)/Thousands</f>
        <v>0</v>
      </c>
      <c r="M7" s="132">
        <v>1250</v>
      </c>
      <c r="N7" s="132"/>
      <c r="O7" s="128"/>
      <c r="P7" s="293">
        <f t="shared" ref="P7" si="0">SUM(K7:O7)</f>
        <v>1250</v>
      </c>
      <c r="Q7" s="277"/>
      <c r="R7" s="134">
        <v>0</v>
      </c>
      <c r="S7" s="135"/>
      <c r="T7" s="135"/>
      <c r="U7" s="135"/>
      <c r="V7" s="135"/>
      <c r="W7" s="135"/>
      <c r="X7" s="135"/>
    </row>
    <row r="8" spans="2:33" x14ac:dyDescent="0.25">
      <c r="B8" s="136"/>
      <c r="C8" s="325"/>
      <c r="D8" s="46"/>
      <c r="E8" s="46"/>
      <c r="F8" s="46"/>
      <c r="G8" s="137"/>
      <c r="H8" s="138"/>
      <c r="I8" s="139"/>
      <c r="K8" s="140"/>
      <c r="L8" s="140"/>
      <c r="M8" s="137"/>
      <c r="N8" s="141"/>
      <c r="O8" s="141"/>
      <c r="P8" s="142"/>
      <c r="Q8" s="133"/>
      <c r="R8" s="127"/>
      <c r="S8" s="127"/>
      <c r="T8" s="127"/>
      <c r="U8" s="127"/>
      <c r="V8" s="127"/>
      <c r="W8" s="127"/>
      <c r="X8" s="127"/>
    </row>
    <row r="9" spans="2:33" x14ac:dyDescent="0.25">
      <c r="B9" s="143" t="s">
        <v>288</v>
      </c>
      <c r="C9" s="324"/>
      <c r="D9" s="117"/>
      <c r="E9" s="117"/>
      <c r="F9" s="117"/>
      <c r="G9" s="144"/>
      <c r="H9" s="110"/>
      <c r="I9" s="111"/>
      <c r="K9" s="145"/>
      <c r="L9" s="145"/>
      <c r="M9" s="144"/>
      <c r="N9" s="146"/>
      <c r="O9" s="146"/>
      <c r="P9" s="147"/>
      <c r="R9" s="127"/>
      <c r="S9" s="127"/>
      <c r="T9" s="127"/>
      <c r="U9" s="127"/>
      <c r="V9" s="127"/>
      <c r="W9" s="127"/>
      <c r="X9" s="127"/>
    </row>
    <row r="10" spans="2:33" x14ac:dyDescent="0.25">
      <c r="B10" s="84"/>
      <c r="C10" s="23" t="s">
        <v>289</v>
      </c>
      <c r="D10" t="s">
        <v>1</v>
      </c>
      <c r="E10" t="s">
        <v>1</v>
      </c>
      <c r="G10" s="128"/>
      <c r="H10" s="129"/>
      <c r="I10" s="130"/>
      <c r="K10" s="148"/>
      <c r="L10" s="172">
        <f>SUMPRODUCT(R$5:X$5,R10:X10)/Thousands</f>
        <v>105.61680393928765</v>
      </c>
      <c r="M10" s="150"/>
      <c r="N10" s="351">
        <v>0</v>
      </c>
      <c r="O10" s="151"/>
      <c r="P10" s="293">
        <f>SUM(K10:O10)</f>
        <v>105.61680393928765</v>
      </c>
      <c r="Q10" s="152"/>
      <c r="R10" s="134">
        <v>478</v>
      </c>
      <c r="S10" s="134">
        <v>92</v>
      </c>
      <c r="T10" s="134">
        <v>48</v>
      </c>
      <c r="U10" s="134">
        <v>24</v>
      </c>
      <c r="V10" s="134"/>
      <c r="W10" s="134"/>
      <c r="X10" s="134"/>
      <c r="Y10" s="304">
        <f>SUM(R10:X10)</f>
        <v>642</v>
      </c>
      <c r="AA10" s="6"/>
      <c r="AB10" s="6"/>
      <c r="AC10" s="6"/>
      <c r="AD10" s="6"/>
      <c r="AE10" s="6"/>
      <c r="AF10" s="6"/>
      <c r="AG10" s="6"/>
    </row>
    <row r="11" spans="2:33" x14ac:dyDescent="0.25">
      <c r="B11" s="84"/>
      <c r="C11" s="23" t="s">
        <v>290</v>
      </c>
      <c r="D11" t="s">
        <v>1</v>
      </c>
      <c r="E11" t="s">
        <v>1</v>
      </c>
      <c r="G11" s="128"/>
      <c r="H11" s="129"/>
      <c r="I11" s="130"/>
      <c r="K11" s="148"/>
      <c r="L11" s="172">
        <f>SUMPRODUCT(R$5:X$5,R11:X11)/Thousands</f>
        <v>820.48221720957179</v>
      </c>
      <c r="M11" s="150"/>
      <c r="N11" s="132"/>
      <c r="O11" s="151"/>
      <c r="P11" s="293">
        <f>SUM(K11:O11)</f>
        <v>820.48221720957179</v>
      </c>
      <c r="Q11" s="133"/>
      <c r="R11" s="134">
        <v>192</v>
      </c>
      <c r="S11" s="134"/>
      <c r="T11" s="134">
        <v>1136</v>
      </c>
      <c r="U11" s="134">
        <v>304</v>
      </c>
      <c r="V11" s="134">
        <v>573.5</v>
      </c>
      <c r="W11" s="134">
        <v>2560</v>
      </c>
      <c r="X11" s="134">
        <v>74</v>
      </c>
      <c r="Y11" s="304">
        <f t="shared" ref="Y11:Y13" si="1">SUM(R11:X11)</f>
        <v>4839.5</v>
      </c>
      <c r="AA11" s="6"/>
      <c r="AB11" s="6"/>
      <c r="AC11" s="6"/>
      <c r="AD11" s="6"/>
      <c r="AE11" s="6"/>
      <c r="AF11" s="6"/>
      <c r="AG11" s="6"/>
    </row>
    <row r="12" spans="2:33" x14ac:dyDescent="0.25">
      <c r="B12" s="84"/>
      <c r="C12" s="23" t="s">
        <v>291</v>
      </c>
      <c r="D12" t="s">
        <v>1</v>
      </c>
      <c r="E12" t="s">
        <v>1</v>
      </c>
      <c r="G12" s="128"/>
      <c r="H12" s="129"/>
      <c r="I12" s="130"/>
      <c r="K12" s="148"/>
      <c r="L12" s="172">
        <f>SUMPRODUCT(R$5:X$5,R12:X12)/Thousands</f>
        <v>14.110747085006041</v>
      </c>
      <c r="M12" s="150"/>
      <c r="N12" s="351">
        <v>0</v>
      </c>
      <c r="O12" s="151"/>
      <c r="P12" s="293">
        <f>SUM(K12:O12)</f>
        <v>14.110747085006041</v>
      </c>
      <c r="Q12" s="152"/>
      <c r="R12" s="134"/>
      <c r="S12" s="134"/>
      <c r="T12" s="134">
        <v>80</v>
      </c>
      <c r="U12" s="134"/>
      <c r="V12" s="134"/>
      <c r="W12" s="134"/>
      <c r="X12" s="134"/>
      <c r="Y12" s="304">
        <f t="shared" si="1"/>
        <v>80</v>
      </c>
      <c r="AA12" s="6"/>
      <c r="AB12" s="6"/>
      <c r="AC12" s="6"/>
      <c r="AD12" s="6"/>
      <c r="AE12" s="6"/>
      <c r="AF12" s="6"/>
      <c r="AG12" s="6"/>
    </row>
    <row r="13" spans="2:33" x14ac:dyDescent="0.25">
      <c r="B13" s="84"/>
      <c r="C13" s="23" t="s">
        <v>292</v>
      </c>
      <c r="D13" t="s">
        <v>1</v>
      </c>
      <c r="E13" t="s">
        <v>1</v>
      </c>
      <c r="G13" s="128"/>
      <c r="H13" s="129"/>
      <c r="I13" s="130"/>
      <c r="K13" s="148"/>
      <c r="L13" s="172">
        <f>SUMPRODUCT(R$5:X$5,R13:X13)/Thousands</f>
        <v>0</v>
      </c>
      <c r="M13" s="150"/>
      <c r="N13" s="351">
        <v>0</v>
      </c>
      <c r="O13" s="151"/>
      <c r="P13" s="293">
        <f>SUM(K13:O13)</f>
        <v>0</v>
      </c>
      <c r="Q13" s="133"/>
      <c r="R13" s="134"/>
      <c r="S13" s="134"/>
      <c r="T13" s="134"/>
      <c r="U13" s="134"/>
      <c r="V13" s="134"/>
      <c r="W13" s="134"/>
      <c r="X13" s="134"/>
      <c r="Y13" s="304">
        <f t="shared" si="1"/>
        <v>0</v>
      </c>
      <c r="AA13" s="6"/>
      <c r="AB13" s="6"/>
      <c r="AC13" s="6"/>
      <c r="AD13" s="6"/>
      <c r="AE13" s="6"/>
      <c r="AF13" s="6"/>
      <c r="AG13" s="6"/>
    </row>
    <row r="14" spans="2:33" x14ac:dyDescent="0.25">
      <c r="B14" s="136"/>
      <c r="C14" s="325"/>
      <c r="D14" s="46"/>
      <c r="E14" s="46"/>
      <c r="F14" s="46"/>
      <c r="G14" s="140"/>
      <c r="H14" s="138"/>
      <c r="I14" s="139"/>
      <c r="K14" s="154"/>
      <c r="L14" s="155"/>
      <c r="M14" s="155"/>
      <c r="N14" s="156"/>
      <c r="O14" s="155"/>
      <c r="P14" s="157"/>
      <c r="R14" s="127"/>
      <c r="S14" s="127"/>
      <c r="T14" s="127"/>
      <c r="U14" s="127"/>
      <c r="V14" s="127"/>
      <c r="W14" s="127"/>
      <c r="X14" s="127"/>
    </row>
    <row r="15" spans="2:33" x14ac:dyDescent="0.25">
      <c r="B15" s="143" t="s">
        <v>439</v>
      </c>
      <c r="C15" s="324"/>
      <c r="D15" s="117"/>
      <c r="E15" s="117"/>
      <c r="F15" s="117"/>
      <c r="G15" s="158"/>
      <c r="H15" s="116"/>
      <c r="I15" s="159"/>
      <c r="K15" s="160"/>
      <c r="L15" s="160"/>
      <c r="M15" s="161"/>
      <c r="N15" s="161"/>
      <c r="O15" s="161"/>
      <c r="P15" s="162"/>
      <c r="Q15" s="163"/>
      <c r="R15" s="164"/>
      <c r="S15" s="127"/>
      <c r="T15" s="127"/>
      <c r="U15" s="127"/>
      <c r="V15" s="127"/>
      <c r="W15" s="127"/>
      <c r="X15" s="127"/>
      <c r="AA15" s="5"/>
      <c r="AB15" s="5"/>
      <c r="AC15" s="5"/>
      <c r="AD15" s="5"/>
      <c r="AE15" s="5"/>
      <c r="AF15" s="5"/>
      <c r="AG15" s="5"/>
    </row>
    <row r="16" spans="2:33" x14ac:dyDescent="0.25">
      <c r="B16" s="120" t="s">
        <v>114</v>
      </c>
      <c r="C16" s="23"/>
      <c r="G16" s="166"/>
      <c r="H16" s="84"/>
      <c r="I16" s="167"/>
      <c r="J16" s="165"/>
      <c r="K16" s="149"/>
      <c r="L16" s="149"/>
      <c r="M16" s="168"/>
      <c r="N16" s="168"/>
      <c r="O16" s="168"/>
      <c r="P16" s="169"/>
      <c r="R16" s="127"/>
      <c r="S16" s="127"/>
      <c r="T16" s="127"/>
      <c r="U16" s="127"/>
      <c r="V16" s="127"/>
      <c r="W16" s="127"/>
      <c r="X16" s="127"/>
      <c r="AA16" s="5"/>
      <c r="AB16" s="5"/>
      <c r="AC16" s="5"/>
      <c r="AD16" s="5"/>
      <c r="AE16" s="5"/>
      <c r="AF16" s="5"/>
      <c r="AG16" s="5"/>
    </row>
    <row r="17" spans="2:37" x14ac:dyDescent="0.25">
      <c r="B17" s="84"/>
      <c r="C17" s="23" t="s">
        <v>353</v>
      </c>
      <c r="D17" s="23" t="str">
        <f>INDEX(Unit_Rates!$C$7:$K$113,MATCH($C17,Unit_Rates!$C$7:$C$113,0),5)</f>
        <v>Subtransmission</v>
      </c>
      <c r="E17" s="23" t="str">
        <f>INDEX(Unit_Rates!$C$7:$K$113,MATCH($C17,Unit_Rates!$C$7:$C$113,0),6)</f>
        <v>Augmentation</v>
      </c>
      <c r="F17" s="23" t="str">
        <f>D17&amp;E17</f>
        <v>SubtransmissionAugmentation</v>
      </c>
      <c r="G17" s="170">
        <f>INDEX(Unit_Rates!$C$7:$K$113,MATCH($C17,Unit_Rates!$C$7:$C$113,0),7)</f>
        <v>185.47500200000002</v>
      </c>
      <c r="H17" s="171"/>
      <c r="I17" s="123" t="s">
        <v>294</v>
      </c>
      <c r="J17" s="165"/>
      <c r="K17" s="172">
        <f t="shared" ref="K17:K26" si="2">G17*$H17</f>
        <v>0</v>
      </c>
      <c r="L17" s="173">
        <f t="shared" ref="L17:L52" si="3">SUMPRODUCT(R$5:X$5,R17:X17)/Thousands</f>
        <v>0</v>
      </c>
      <c r="M17" s="174"/>
      <c r="N17" s="448"/>
      <c r="O17" s="448"/>
      <c r="P17" s="449"/>
      <c r="Q17" s="314">
        <f>P17-H17*VLOOKUP(C17,Unit_Rates!$C$7:$E$113,3,FALSE)</f>
        <v>0</v>
      </c>
      <c r="R17" s="134">
        <v>0</v>
      </c>
      <c r="S17" s="134">
        <v>0</v>
      </c>
      <c r="T17" s="134">
        <v>0</v>
      </c>
      <c r="U17" s="134">
        <v>0</v>
      </c>
      <c r="V17" s="134">
        <v>0</v>
      </c>
      <c r="W17" s="134">
        <v>0</v>
      </c>
      <c r="X17" s="134">
        <v>0</v>
      </c>
      <c r="Y17" s="304">
        <f t="shared" ref="Y17:Y51" si="4">SUM(R17:X17)</f>
        <v>0</v>
      </c>
      <c r="AA17" s="5"/>
      <c r="AB17" s="5"/>
      <c r="AC17" s="5"/>
      <c r="AD17" s="5"/>
      <c r="AE17" s="5"/>
      <c r="AF17" s="5"/>
      <c r="AG17" s="5"/>
      <c r="AK17" s="349"/>
    </row>
    <row r="18" spans="2:37" x14ac:dyDescent="0.25">
      <c r="B18" s="84"/>
      <c r="C18" s="23" t="s">
        <v>354</v>
      </c>
      <c r="D18" s="23" t="str">
        <f>INDEX(Unit_Rates!$C$7:$K$113,MATCH($C18,Unit_Rates!$C$7:$C$113,0),5)</f>
        <v>Subtransmission</v>
      </c>
      <c r="E18" s="23" t="str">
        <f>INDEX(Unit_Rates!$C$7:$K$113,MATCH($C18,Unit_Rates!$C$7:$C$113,0),6)</f>
        <v>Augmentation</v>
      </c>
      <c r="F18" s="23" t="str">
        <f t="shared" ref="F18:F52" si="5">D18&amp;E18</f>
        <v>SubtransmissionAugmentation</v>
      </c>
      <c r="G18" s="170">
        <f>INDEX(Unit_Rates!$C$7:$K$113,MATCH($C18,Unit_Rates!$C$7:$C$113,0),7)</f>
        <v>74.154499800000011</v>
      </c>
      <c r="H18" s="171"/>
      <c r="I18" s="123" t="s">
        <v>294</v>
      </c>
      <c r="J18" s="165"/>
      <c r="K18" s="172">
        <f t="shared" si="2"/>
        <v>0</v>
      </c>
      <c r="L18" s="173">
        <f t="shared" si="3"/>
        <v>0</v>
      </c>
      <c r="M18" s="174"/>
      <c r="N18" s="448"/>
      <c r="O18" s="448"/>
      <c r="P18" s="449"/>
      <c r="Q18" s="314">
        <f>P18-H18*VLOOKUP(C18,Unit_Rates!$C$7:$E$113,3,FALSE)</f>
        <v>0</v>
      </c>
      <c r="R18" s="134">
        <v>0</v>
      </c>
      <c r="S18" s="134">
        <v>0</v>
      </c>
      <c r="T18" s="134">
        <v>0</v>
      </c>
      <c r="U18" s="134">
        <v>0</v>
      </c>
      <c r="V18" s="134">
        <v>0</v>
      </c>
      <c r="W18" s="134">
        <v>0</v>
      </c>
      <c r="X18" s="134">
        <v>0</v>
      </c>
      <c r="Y18" s="304">
        <f t="shared" si="4"/>
        <v>0</v>
      </c>
      <c r="AA18" s="5"/>
      <c r="AB18" s="5"/>
      <c r="AC18" s="5"/>
      <c r="AD18" s="5"/>
      <c r="AE18" s="5"/>
      <c r="AF18" s="5"/>
      <c r="AG18" s="5"/>
      <c r="AK18" s="349"/>
    </row>
    <row r="19" spans="2:37" x14ac:dyDescent="0.25">
      <c r="B19" s="84"/>
      <c r="C19" s="23" t="s">
        <v>355</v>
      </c>
      <c r="D19" s="23" t="str">
        <f>INDEX(Unit_Rates!$C$7:$K$113,MATCH($C19,Unit_Rates!$C$7:$C$113,0),5)</f>
        <v>Subtransmission</v>
      </c>
      <c r="E19" s="23" t="str">
        <f>INDEX(Unit_Rates!$C$7:$K$113,MATCH($C19,Unit_Rates!$C$7:$C$113,0),6)</f>
        <v>Augmentation</v>
      </c>
      <c r="F19" s="23" t="str">
        <f t="shared" ref="F19" si="6">D19&amp;E19</f>
        <v>SubtransmissionAugmentation</v>
      </c>
      <c r="G19" s="170">
        <f>INDEX(Unit_Rates!$C$7:$K$113,MATCH($C19,Unit_Rates!$C$7:$C$113,0),7)</f>
        <v>37.493999250000002</v>
      </c>
      <c r="H19" s="171"/>
      <c r="I19" s="123" t="s">
        <v>294</v>
      </c>
      <c r="J19" s="165"/>
      <c r="K19" s="172">
        <f t="shared" ref="K19" si="7">G19*$H19</f>
        <v>0</v>
      </c>
      <c r="L19" s="173">
        <f t="shared" ref="L19" si="8">SUMPRODUCT(R$5:X$5,R19:X19)/Thousands</f>
        <v>0</v>
      </c>
      <c r="M19" s="174"/>
      <c r="N19" s="448"/>
      <c r="O19" s="448"/>
      <c r="P19" s="449"/>
      <c r="Q19" s="314">
        <f>P19-H19*VLOOKUP(C19,Unit_Rates!$C$7:$E$113,3,FALSE)</f>
        <v>0</v>
      </c>
      <c r="R19" s="134">
        <v>0</v>
      </c>
      <c r="S19" s="134">
        <v>0</v>
      </c>
      <c r="T19" s="134">
        <v>0</v>
      </c>
      <c r="U19" s="134">
        <v>0</v>
      </c>
      <c r="V19" s="134">
        <v>0</v>
      </c>
      <c r="W19" s="134">
        <v>0</v>
      </c>
      <c r="X19" s="134">
        <v>0</v>
      </c>
      <c r="Y19" s="304">
        <f t="shared" si="4"/>
        <v>0</v>
      </c>
      <c r="AA19" s="5"/>
      <c r="AB19" s="5"/>
      <c r="AC19" s="5"/>
      <c r="AD19" s="5"/>
      <c r="AE19" s="5"/>
      <c r="AF19" s="5"/>
      <c r="AG19" s="5"/>
      <c r="AK19" s="349"/>
    </row>
    <row r="20" spans="2:37" x14ac:dyDescent="0.25">
      <c r="B20" s="84"/>
      <c r="C20" s="23" t="s">
        <v>340</v>
      </c>
      <c r="D20" s="23" t="str">
        <f>INDEX(Unit_Rates!$C$7:$K$113,MATCH($C20,Unit_Rates!$C$7:$C$113,0),5)</f>
        <v>Subtransmission</v>
      </c>
      <c r="E20" s="23" t="str">
        <f>INDEX(Unit_Rates!$C$7:$K$113,MATCH($C20,Unit_Rates!$C$7:$C$113,0),6)</f>
        <v>Augmentation</v>
      </c>
      <c r="F20" s="23" t="str">
        <f t="shared" si="5"/>
        <v>SubtransmissionAugmentation</v>
      </c>
      <c r="G20" s="170">
        <f>INDEX(Unit_Rates!$C$7:$K$113,MATCH($C20,Unit_Rates!$C$7:$C$113,0),7)</f>
        <v>787.07449999999994</v>
      </c>
      <c r="H20" s="171"/>
      <c r="I20" s="123" t="s">
        <v>294</v>
      </c>
      <c r="J20" s="165"/>
      <c r="K20" s="172">
        <f t="shared" si="2"/>
        <v>0</v>
      </c>
      <c r="L20" s="173">
        <f t="shared" ref="L20" si="9">SUMPRODUCT(R$5:X$5,R20:X20)/Thousands</f>
        <v>0</v>
      </c>
      <c r="M20" s="174"/>
      <c r="N20" s="448"/>
      <c r="O20" s="448"/>
      <c r="P20" s="449"/>
      <c r="Q20" s="314">
        <f>P20-H20*VLOOKUP(C20,Unit_Rates!$C$7:$E$113,3,FALSE)</f>
        <v>0</v>
      </c>
      <c r="R20" s="134">
        <v>0</v>
      </c>
      <c r="S20" s="134">
        <v>0</v>
      </c>
      <c r="T20" s="134">
        <v>0</v>
      </c>
      <c r="U20" s="134">
        <v>0</v>
      </c>
      <c r="V20" s="134">
        <v>0</v>
      </c>
      <c r="W20" s="134">
        <v>0</v>
      </c>
      <c r="X20" s="134">
        <v>0</v>
      </c>
      <c r="Y20" s="304">
        <f t="shared" si="4"/>
        <v>0</v>
      </c>
      <c r="AA20" s="5"/>
      <c r="AB20" s="5"/>
      <c r="AC20" s="5"/>
      <c r="AD20" s="5"/>
      <c r="AE20" s="5"/>
      <c r="AF20" s="5"/>
      <c r="AG20" s="5"/>
      <c r="AK20" s="349"/>
    </row>
    <row r="21" spans="2:37" x14ac:dyDescent="0.25">
      <c r="B21" s="84"/>
      <c r="C21" s="23" t="s">
        <v>352</v>
      </c>
      <c r="D21" s="23" t="str">
        <f>INDEX(Unit_Rates!$C$7:$K$113,MATCH($C21,Unit_Rates!$C$7:$C$113,0),5)</f>
        <v>Subtransmission</v>
      </c>
      <c r="E21" s="23" t="str">
        <f>INDEX(Unit_Rates!$C$7:$K$113,MATCH($C21,Unit_Rates!$C$7:$C$113,0),6)</f>
        <v>Augmentation</v>
      </c>
      <c r="F21" s="23" t="str">
        <f t="shared" ref="F21" si="10">D21&amp;E21</f>
        <v>SubtransmissionAugmentation</v>
      </c>
      <c r="G21" s="170">
        <f>INDEX(Unit_Rates!$C$7:$K$113,MATCH($C21,Unit_Rates!$C$7:$C$113,0),7)</f>
        <v>41.255909799999998</v>
      </c>
      <c r="H21" s="171"/>
      <c r="I21" s="123" t="s">
        <v>294</v>
      </c>
      <c r="J21" s="165"/>
      <c r="K21" s="172">
        <f t="shared" si="2"/>
        <v>0</v>
      </c>
      <c r="L21" s="173">
        <f t="shared" ref="L21" si="11">SUMPRODUCT(R$5:X$5,R21:X21)/Thousands</f>
        <v>0</v>
      </c>
      <c r="M21" s="174"/>
      <c r="N21" s="448"/>
      <c r="O21" s="448"/>
      <c r="P21" s="449"/>
      <c r="Q21" s="314">
        <f>P21-H21*VLOOKUP(C21,Unit_Rates!$C$7:$E$113,3,FALSE)</f>
        <v>0</v>
      </c>
      <c r="R21" s="134">
        <v>0</v>
      </c>
      <c r="S21" s="134">
        <v>0</v>
      </c>
      <c r="T21" s="134">
        <v>0</v>
      </c>
      <c r="U21" s="134">
        <v>0</v>
      </c>
      <c r="V21" s="134">
        <v>0</v>
      </c>
      <c r="W21" s="134">
        <v>0</v>
      </c>
      <c r="X21" s="134">
        <v>0</v>
      </c>
      <c r="Y21" s="304">
        <f t="shared" si="4"/>
        <v>0</v>
      </c>
      <c r="AA21" s="5"/>
      <c r="AB21" s="5"/>
      <c r="AC21" s="5"/>
      <c r="AD21" s="5"/>
      <c r="AE21" s="5"/>
      <c r="AF21" s="5"/>
      <c r="AG21" s="5"/>
      <c r="AK21" s="349"/>
    </row>
    <row r="22" spans="2:37" x14ac:dyDescent="0.25">
      <c r="B22" s="84"/>
      <c r="C22" s="23" t="s">
        <v>342</v>
      </c>
      <c r="D22" s="23" t="str">
        <f>INDEX(Unit_Rates!$C$7:$K$113,MATCH($C22,Unit_Rates!$C$7:$C$113,0),5)</f>
        <v>Subtransmission</v>
      </c>
      <c r="E22" s="23" t="str">
        <f>INDEX(Unit_Rates!$C$7:$K$113,MATCH($C22,Unit_Rates!$C$7:$C$113,0),6)</f>
        <v>Augmentation</v>
      </c>
      <c r="F22" s="23" t="str">
        <f t="shared" ref="F22" si="12">D22&amp;E22</f>
        <v>SubtransmissionAugmentation</v>
      </c>
      <c r="G22" s="170">
        <f>INDEX(Unit_Rates!$C$7:$K$113,MATCH($C22,Unit_Rates!$C$7:$C$113,0),7)</f>
        <v>106.81319599999999</v>
      </c>
      <c r="H22" s="171"/>
      <c r="I22" s="123" t="s">
        <v>294</v>
      </c>
      <c r="J22" s="165"/>
      <c r="K22" s="172">
        <f t="shared" si="2"/>
        <v>0</v>
      </c>
      <c r="L22" s="173">
        <f t="shared" ref="L22" si="13">SUMPRODUCT(R$5:X$5,R22:X22)/Thousands</f>
        <v>0</v>
      </c>
      <c r="M22" s="174"/>
      <c r="N22" s="448"/>
      <c r="O22" s="448"/>
      <c r="P22" s="449"/>
      <c r="Q22" s="314">
        <f>P22-H22*VLOOKUP(C22,Unit_Rates!$C$7:$E$113,3,FALSE)</f>
        <v>0</v>
      </c>
      <c r="R22" s="134">
        <v>0</v>
      </c>
      <c r="S22" s="134">
        <v>0</v>
      </c>
      <c r="T22" s="134">
        <v>0</v>
      </c>
      <c r="U22" s="134">
        <v>0</v>
      </c>
      <c r="V22" s="134">
        <v>0</v>
      </c>
      <c r="W22" s="134">
        <v>0</v>
      </c>
      <c r="X22" s="134">
        <v>0</v>
      </c>
      <c r="Y22" s="304">
        <f t="shared" si="4"/>
        <v>0</v>
      </c>
      <c r="AA22" s="5"/>
      <c r="AB22" s="5"/>
      <c r="AC22" s="5"/>
      <c r="AD22" s="5"/>
      <c r="AE22" s="5"/>
      <c r="AF22" s="5"/>
      <c r="AG22" s="5"/>
      <c r="AK22" s="349"/>
    </row>
    <row r="23" spans="2:37" x14ac:dyDescent="0.25">
      <c r="B23" s="84"/>
      <c r="C23" s="23" t="s">
        <v>357</v>
      </c>
      <c r="D23" s="23" t="str">
        <f>INDEX(Unit_Rates!$C$7:$K$113,MATCH($C23,Unit_Rates!$C$7:$C$113,0),5)</f>
        <v>Subtransmission</v>
      </c>
      <c r="E23" s="23" t="str">
        <f>INDEX(Unit_Rates!$C$7:$K$113,MATCH($C23,Unit_Rates!$C$7:$C$113,0),6)</f>
        <v>Augmentation</v>
      </c>
      <c r="F23" s="23" t="str">
        <f t="shared" si="5"/>
        <v>SubtransmissionAugmentation</v>
      </c>
      <c r="G23" s="170">
        <f>INDEX(Unit_Rates!$C$7:$K$113,MATCH($C23,Unit_Rates!$C$7:$C$113,0),7)</f>
        <v>58.265687</v>
      </c>
      <c r="H23" s="171"/>
      <c r="I23" s="123" t="s">
        <v>294</v>
      </c>
      <c r="J23" s="165"/>
      <c r="K23" s="172">
        <f t="shared" si="2"/>
        <v>0</v>
      </c>
      <c r="L23" s="173">
        <f t="shared" si="3"/>
        <v>0</v>
      </c>
      <c r="M23" s="174"/>
      <c r="N23" s="448"/>
      <c r="O23" s="448"/>
      <c r="P23" s="449"/>
      <c r="Q23" s="314">
        <f>P23-H23*VLOOKUP(C23,Unit_Rates!$C$7:$E$113,3,FALSE)</f>
        <v>0</v>
      </c>
      <c r="R23" s="134">
        <v>0</v>
      </c>
      <c r="S23" s="134">
        <v>0</v>
      </c>
      <c r="T23" s="134">
        <v>0</v>
      </c>
      <c r="U23" s="134">
        <v>0</v>
      </c>
      <c r="V23" s="134">
        <v>0</v>
      </c>
      <c r="W23" s="134">
        <v>0</v>
      </c>
      <c r="X23" s="134">
        <v>0</v>
      </c>
      <c r="Y23" s="304">
        <f t="shared" si="4"/>
        <v>0</v>
      </c>
      <c r="AK23" s="349"/>
    </row>
    <row r="24" spans="2:37" x14ac:dyDescent="0.25">
      <c r="B24" s="84"/>
      <c r="C24" s="23" t="s">
        <v>432</v>
      </c>
      <c r="D24" s="23" t="str">
        <f>INDEX(Unit_Rates!$C$7:$K$113,MATCH($C24,Unit_Rates!$C$7:$C$113,0),5)</f>
        <v>Subtransmission</v>
      </c>
      <c r="E24" s="23" t="str">
        <f>INDEX(Unit_Rates!$C$7:$K$113,MATCH($C24,Unit_Rates!$C$7:$C$113,0),6)</f>
        <v>Augmentation</v>
      </c>
      <c r="F24" s="23" t="str">
        <f t="shared" si="5"/>
        <v>SubtransmissionAugmentation</v>
      </c>
      <c r="G24" s="170">
        <f>INDEX(Unit_Rates!$C$7:$K$113,MATCH($C24,Unit_Rates!$C$7:$C$113,0),7)</f>
        <v>47.718692238676105</v>
      </c>
      <c r="H24" s="171">
        <v>2</v>
      </c>
      <c r="I24" s="123" t="s">
        <v>294</v>
      </c>
      <c r="J24" s="165"/>
      <c r="K24" s="172">
        <f t="shared" si="2"/>
        <v>95.437384477352211</v>
      </c>
      <c r="L24" s="173">
        <f t="shared" si="3"/>
        <v>0</v>
      </c>
      <c r="M24" s="174"/>
      <c r="N24" s="448"/>
      <c r="O24" s="448"/>
      <c r="P24" s="449"/>
      <c r="Q24" s="314">
        <f>P24-H24*VLOOKUP(C24,Unit_Rates!$C$7:$E$113,3,FALSE)</f>
        <v>0</v>
      </c>
      <c r="R24" s="134">
        <v>0</v>
      </c>
      <c r="S24" s="134">
        <v>0</v>
      </c>
      <c r="T24" s="134">
        <v>0</v>
      </c>
      <c r="U24" s="134">
        <v>0</v>
      </c>
      <c r="V24" s="134">
        <v>0</v>
      </c>
      <c r="W24" s="134">
        <v>0</v>
      </c>
      <c r="X24" s="134">
        <v>0</v>
      </c>
      <c r="Y24" s="304">
        <f t="shared" si="4"/>
        <v>0</v>
      </c>
      <c r="AK24" s="349"/>
    </row>
    <row r="25" spans="2:37" x14ac:dyDescent="0.25">
      <c r="B25" s="84"/>
      <c r="C25" s="23" t="s">
        <v>416</v>
      </c>
      <c r="D25" s="23" t="str">
        <f>INDEX(Unit_Rates!$C$7:$K$113,MATCH($C25,Unit_Rates!$C$7:$C$113,0),5)</f>
        <v>Subtransmission</v>
      </c>
      <c r="E25" s="23" t="str">
        <f>INDEX(Unit_Rates!$C$7:$K$113,MATCH($C25,Unit_Rates!$C$7:$C$113,0),6)</f>
        <v>Augmentation</v>
      </c>
      <c r="F25" s="23" t="str">
        <f t="shared" ref="F25" si="14">D25&amp;E25</f>
        <v>SubtransmissionAugmentation</v>
      </c>
      <c r="G25" s="170">
        <f>INDEX(Unit_Rates!$C$7:$K$113,MATCH($C25,Unit_Rates!$C$7:$C$113,0),7)</f>
        <v>169.007993</v>
      </c>
      <c r="H25" s="171"/>
      <c r="I25" s="123" t="s">
        <v>294</v>
      </c>
      <c r="J25" s="165"/>
      <c r="K25" s="172">
        <f t="shared" ref="K25" si="15">G25*$H25</f>
        <v>0</v>
      </c>
      <c r="L25" s="173">
        <f t="shared" ref="L25" si="16">SUMPRODUCT(R$5:X$5,R25:X25)/Thousands</f>
        <v>0</v>
      </c>
      <c r="M25" s="174"/>
      <c r="N25" s="448"/>
      <c r="O25" s="448"/>
      <c r="P25" s="449"/>
      <c r="Q25" s="314">
        <f>P25-H25*VLOOKUP(C25,Unit_Rates!$C$7:$E$113,3,FALSE)</f>
        <v>0</v>
      </c>
      <c r="R25" s="134">
        <v>0</v>
      </c>
      <c r="S25" s="134">
        <v>0</v>
      </c>
      <c r="T25" s="134">
        <v>0</v>
      </c>
      <c r="U25" s="134">
        <v>0</v>
      </c>
      <c r="V25" s="134">
        <v>0</v>
      </c>
      <c r="W25" s="134">
        <v>0</v>
      </c>
      <c r="X25" s="134">
        <v>0</v>
      </c>
      <c r="Y25" s="304">
        <f t="shared" ref="Y25" si="17">SUM(R25:X25)</f>
        <v>0</v>
      </c>
      <c r="AK25" s="349"/>
    </row>
    <row r="26" spans="2:37" x14ac:dyDescent="0.25">
      <c r="B26" s="84"/>
      <c r="C26" s="23" t="s">
        <v>122</v>
      </c>
      <c r="D26" s="23" t="str">
        <f>INDEX(Unit_Rates!$C$7:$K$113,MATCH($C26,Unit_Rates!$C$7:$C$113,0),5)</f>
        <v>Subtransmission</v>
      </c>
      <c r="E26" s="23" t="str">
        <f>INDEX(Unit_Rates!$C$7:$K$113,MATCH($C26,Unit_Rates!$C$7:$C$113,0),6)</f>
        <v>Augmentation</v>
      </c>
      <c r="F26" s="23" t="str">
        <f t="shared" ref="F26" si="18">D26&amp;E26</f>
        <v>SubtransmissionAugmentation</v>
      </c>
      <c r="G26" s="170">
        <f>INDEX(Unit_Rates!$C$7:$K$113,MATCH($C26,Unit_Rates!$C$7:$C$113,0),7)</f>
        <v>72.618999999999986</v>
      </c>
      <c r="H26" s="171"/>
      <c r="I26" s="175" t="s">
        <v>294</v>
      </c>
      <c r="J26" s="176"/>
      <c r="K26" s="177">
        <f t="shared" si="2"/>
        <v>0</v>
      </c>
      <c r="L26" s="177">
        <f t="shared" si="3"/>
        <v>0</v>
      </c>
      <c r="M26" s="178"/>
      <c r="N26" s="448"/>
      <c r="O26" s="448"/>
      <c r="P26" s="450"/>
      <c r="Q26" s="314">
        <f>P26-H26*VLOOKUP(C26,Unit_Rates!$C$7:$E$113,3,FALSE)</f>
        <v>0</v>
      </c>
      <c r="R26" s="134">
        <v>0</v>
      </c>
      <c r="S26" s="134">
        <v>0</v>
      </c>
      <c r="T26" s="134">
        <v>0</v>
      </c>
      <c r="U26" s="134">
        <v>0</v>
      </c>
      <c r="V26" s="134">
        <v>0</v>
      </c>
      <c r="W26" s="134">
        <v>0</v>
      </c>
      <c r="X26" s="134">
        <v>0</v>
      </c>
      <c r="Y26" s="304">
        <f t="shared" si="4"/>
        <v>0</v>
      </c>
      <c r="AA26" s="5"/>
      <c r="AB26" s="5"/>
      <c r="AC26" s="5"/>
      <c r="AD26" s="5"/>
      <c r="AE26" s="5"/>
      <c r="AF26" s="5"/>
      <c r="AG26" s="5"/>
      <c r="AK26" s="349"/>
    </row>
    <row r="27" spans="2:37" x14ac:dyDescent="0.25">
      <c r="B27" s="84"/>
      <c r="C27" s="23" t="s">
        <v>431</v>
      </c>
      <c r="D27" s="23" t="str">
        <f>INDEX(Unit_Rates!$C$7:$K$113,MATCH($C27,Unit_Rates!$C$7:$C$113,0),5)</f>
        <v>Subtransmission</v>
      </c>
      <c r="E27" s="23" t="str">
        <f>INDEX(Unit_Rates!$C$7:$K$113,MATCH($C27,Unit_Rates!$C$7:$C$113,0),6)</f>
        <v>Augmentation</v>
      </c>
      <c r="F27" s="23" t="str">
        <f t="shared" ref="F27" si="19">D27&amp;E27</f>
        <v>SubtransmissionAugmentation</v>
      </c>
      <c r="G27" s="170">
        <f>INDEX(Unit_Rates!$C$7:$K$113,MATCH($C27,Unit_Rates!$C$7:$C$113,0),7)</f>
        <v>1184.64554006969</v>
      </c>
      <c r="H27" s="171">
        <v>2</v>
      </c>
      <c r="I27" s="175" t="s">
        <v>294</v>
      </c>
      <c r="J27" s="176"/>
      <c r="K27" s="177">
        <f t="shared" ref="K27" si="20">G27*$H27</f>
        <v>2369.29108013938</v>
      </c>
      <c r="L27" s="177">
        <f t="shared" ref="L27" si="21">SUMPRODUCT(R$5:X$5,R27:X27)/Thousands</f>
        <v>0</v>
      </c>
      <c r="M27" s="178"/>
      <c r="N27" s="448"/>
      <c r="O27" s="448"/>
      <c r="P27" s="450"/>
      <c r="Q27" s="314">
        <f>P27-H27*VLOOKUP(C27,Unit_Rates!$C$7:$E$113,3,FALSE)</f>
        <v>0</v>
      </c>
      <c r="R27" s="134">
        <v>0</v>
      </c>
      <c r="S27" s="134">
        <v>0</v>
      </c>
      <c r="T27" s="134">
        <v>0</v>
      </c>
      <c r="U27" s="134">
        <v>0</v>
      </c>
      <c r="V27" s="134">
        <v>0</v>
      </c>
      <c r="W27" s="134">
        <v>0</v>
      </c>
      <c r="X27" s="134">
        <v>0</v>
      </c>
      <c r="Y27" s="304">
        <f t="shared" ref="Y27" si="22">SUM(R27:X27)</f>
        <v>0</v>
      </c>
      <c r="AA27" s="5"/>
      <c r="AB27" s="5"/>
      <c r="AC27" s="5"/>
      <c r="AD27" s="5"/>
      <c r="AE27" s="5"/>
      <c r="AF27" s="5"/>
      <c r="AG27" s="5"/>
      <c r="AK27" s="349"/>
    </row>
    <row r="28" spans="2:37" x14ac:dyDescent="0.25">
      <c r="B28" s="84"/>
      <c r="C28" s="23" t="s">
        <v>128</v>
      </c>
      <c r="D28" s="23" t="str">
        <f>INDEX(Unit_Rates!$C$7:$K$113,MATCH($C28,Unit_Rates!$C$7:$C$113,0),5)</f>
        <v>Subtransmission</v>
      </c>
      <c r="E28" s="23" t="str">
        <f>INDEX(Unit_Rates!$C$7:$K$113,MATCH($C28,Unit_Rates!$C$7:$C$113,0),6)</f>
        <v>Augmentation</v>
      </c>
      <c r="F28" s="23" t="str">
        <f t="shared" si="5"/>
        <v>SubtransmissionAugmentation</v>
      </c>
      <c r="G28" s="170">
        <f>INDEX(Unit_Rates!$C$7:$K$113,MATCH($C28,Unit_Rates!$C$7:$C$113,0),7)</f>
        <v>39.294999999999995</v>
      </c>
      <c r="H28" s="171"/>
      <c r="I28" s="123" t="s">
        <v>294</v>
      </c>
      <c r="J28" s="165"/>
      <c r="K28" s="172">
        <f>G28*H28</f>
        <v>0</v>
      </c>
      <c r="L28" s="173">
        <f t="shared" si="3"/>
        <v>0</v>
      </c>
      <c r="M28" s="174"/>
      <c r="N28" s="448"/>
      <c r="O28" s="448"/>
      <c r="P28" s="449"/>
      <c r="Q28" s="314">
        <f>P28-H28*VLOOKUP(C28,Unit_Rates!$C$7:$E$113,3,FALSE)</f>
        <v>0</v>
      </c>
      <c r="R28" s="134">
        <v>0</v>
      </c>
      <c r="S28" s="134">
        <v>0</v>
      </c>
      <c r="T28" s="134">
        <v>0</v>
      </c>
      <c r="U28" s="134">
        <v>0</v>
      </c>
      <c r="V28" s="134">
        <v>0</v>
      </c>
      <c r="W28" s="134">
        <v>0</v>
      </c>
      <c r="X28" s="134">
        <v>0</v>
      </c>
      <c r="Y28" s="304">
        <f t="shared" si="4"/>
        <v>0</v>
      </c>
      <c r="AA28" s="5"/>
      <c r="AB28" s="5"/>
      <c r="AC28" s="5"/>
      <c r="AD28" s="5"/>
      <c r="AE28" s="5"/>
      <c r="AF28" s="5"/>
      <c r="AG28" s="5"/>
      <c r="AK28" s="349"/>
    </row>
    <row r="29" spans="2:37" x14ac:dyDescent="0.25">
      <c r="B29" s="84"/>
      <c r="C29" s="23" t="s">
        <v>132</v>
      </c>
      <c r="D29" s="23" t="str">
        <f>INDEX(Unit_Rates!$C$7:$K$113,MATCH($C29,Unit_Rates!$C$7:$C$113,0),5)</f>
        <v>Subtransmission</v>
      </c>
      <c r="E29" s="23" t="str">
        <f>INDEX(Unit_Rates!$C$7:$K$113,MATCH($C29,Unit_Rates!$C$7:$C$113,0),6)</f>
        <v>Augmentation</v>
      </c>
      <c r="F29" s="23" t="str">
        <f t="shared" si="5"/>
        <v>SubtransmissionAugmentation</v>
      </c>
      <c r="G29" s="170">
        <f>INDEX(Unit_Rates!$C$7:$K$113,MATCH($C29,Unit_Rates!$C$7:$C$113,0),7)</f>
        <v>0</v>
      </c>
      <c r="H29" s="171"/>
      <c r="I29" s="123" t="s">
        <v>294</v>
      </c>
      <c r="J29" s="165"/>
      <c r="K29" s="172">
        <f>G29*H29</f>
        <v>0</v>
      </c>
      <c r="L29" s="173">
        <f t="shared" si="3"/>
        <v>0</v>
      </c>
      <c r="M29" s="174"/>
      <c r="N29" s="448"/>
      <c r="O29" s="448"/>
      <c r="P29" s="449"/>
      <c r="Q29" s="314">
        <f>P29-H29*VLOOKUP(C29,Unit_Rates!$C$7:$E$113,3,FALSE)</f>
        <v>0</v>
      </c>
      <c r="R29" s="134">
        <v>0</v>
      </c>
      <c r="S29" s="134">
        <v>0</v>
      </c>
      <c r="T29" s="134">
        <v>0</v>
      </c>
      <c r="U29" s="134">
        <v>0</v>
      </c>
      <c r="V29" s="134">
        <v>0</v>
      </c>
      <c r="W29" s="134">
        <v>0</v>
      </c>
      <c r="X29" s="134">
        <v>0</v>
      </c>
      <c r="Y29" s="304">
        <f t="shared" si="4"/>
        <v>0</v>
      </c>
      <c r="AA29" s="5"/>
      <c r="AB29" s="5"/>
      <c r="AC29" s="5"/>
      <c r="AD29" s="5"/>
      <c r="AE29" s="5"/>
      <c r="AF29" s="5"/>
      <c r="AG29" s="5"/>
      <c r="AK29" s="349"/>
    </row>
    <row r="30" spans="2:37" x14ac:dyDescent="0.25">
      <c r="B30" s="84"/>
      <c r="C30" s="23" t="s">
        <v>133</v>
      </c>
      <c r="D30" s="23" t="str">
        <f>INDEX(Unit_Rates!$C$7:$K$113,MATCH($C30,Unit_Rates!$C$7:$C$113,0),5)</f>
        <v>SCADA/Network control</v>
      </c>
      <c r="E30" s="23" t="str">
        <f>INDEX(Unit_Rates!$C$7:$K$113,MATCH($C30,Unit_Rates!$C$7:$C$113,0),6)</f>
        <v>Augmentation</v>
      </c>
      <c r="F30" s="23" t="str">
        <f t="shared" si="5"/>
        <v>SCADA/Network controlAugmentation</v>
      </c>
      <c r="G30" s="170">
        <f>INDEX(Unit_Rates!$C$7:$K$113,MATCH($C30,Unit_Rates!$C$7:$C$113,0),7)</f>
        <v>1158.2999999999995</v>
      </c>
      <c r="H30" s="171">
        <v>2</v>
      </c>
      <c r="I30" s="123" t="s">
        <v>294</v>
      </c>
      <c r="J30" s="165"/>
      <c r="K30" s="172">
        <f>G30*H30</f>
        <v>2316.599999999999</v>
      </c>
      <c r="L30" s="173">
        <f t="shared" si="3"/>
        <v>0</v>
      </c>
      <c r="M30" s="174"/>
      <c r="N30" s="448"/>
      <c r="O30" s="448"/>
      <c r="P30" s="449"/>
      <c r="Q30" s="314">
        <f>P30-H30*VLOOKUP(C30,Unit_Rates!$C$7:$E$113,3,FALSE)</f>
        <v>0</v>
      </c>
      <c r="R30" s="134">
        <v>0</v>
      </c>
      <c r="S30" s="134">
        <v>0</v>
      </c>
      <c r="T30" s="134">
        <v>0</v>
      </c>
      <c r="U30" s="134">
        <v>0</v>
      </c>
      <c r="V30" s="134">
        <v>0</v>
      </c>
      <c r="W30" s="134">
        <v>0</v>
      </c>
      <c r="X30" s="134">
        <v>0</v>
      </c>
      <c r="Y30" s="304">
        <f t="shared" si="4"/>
        <v>0</v>
      </c>
      <c r="AA30" s="5"/>
      <c r="AB30" s="5"/>
      <c r="AC30" s="5"/>
      <c r="AD30" s="5"/>
      <c r="AE30" s="5"/>
      <c r="AF30" s="5"/>
      <c r="AG30" s="5"/>
      <c r="AK30" s="349"/>
    </row>
    <row r="31" spans="2:37" x14ac:dyDescent="0.25">
      <c r="B31" s="84"/>
      <c r="C31" s="23" t="s">
        <v>135</v>
      </c>
      <c r="D31" s="23" t="str">
        <f>INDEX(Unit_Rates!$C$7:$K$113,MATCH($C31,Unit_Rates!$C$7:$C$113,0),5)</f>
        <v>Subtransmission</v>
      </c>
      <c r="E31" s="23" t="str">
        <f>INDEX(Unit_Rates!$C$7:$K$113,MATCH($C31,Unit_Rates!$C$7:$C$113,0),6)</f>
        <v>Augmentation</v>
      </c>
      <c r="F31" s="23" t="str">
        <f t="shared" si="5"/>
        <v>SubtransmissionAugmentation</v>
      </c>
      <c r="G31" s="170">
        <f>INDEX(Unit_Rates!$C$7:$K$113,MATCH($C31,Unit_Rates!$C$7:$C$113,0),7)</f>
        <v>0</v>
      </c>
      <c r="H31" s="171">
        <v>2</v>
      </c>
      <c r="I31" s="123" t="s">
        <v>294</v>
      </c>
      <c r="J31" s="165"/>
      <c r="K31" s="172">
        <f>G31*H31</f>
        <v>0</v>
      </c>
      <c r="L31" s="173">
        <f t="shared" si="3"/>
        <v>0</v>
      </c>
      <c r="M31" s="174"/>
      <c r="N31" s="448"/>
      <c r="O31" s="448"/>
      <c r="P31" s="449"/>
      <c r="Q31" s="314">
        <f>P31-H31*VLOOKUP(C31,Unit_Rates!$C$7:$E$113,3,FALSE)</f>
        <v>0</v>
      </c>
      <c r="R31" s="134">
        <v>0</v>
      </c>
      <c r="S31" s="134">
        <v>0</v>
      </c>
      <c r="T31" s="134">
        <v>0</v>
      </c>
      <c r="U31" s="134">
        <v>0</v>
      </c>
      <c r="V31" s="134">
        <v>0</v>
      </c>
      <c r="W31" s="134">
        <v>0</v>
      </c>
      <c r="X31" s="134">
        <v>0</v>
      </c>
      <c r="Y31" s="304">
        <f t="shared" si="4"/>
        <v>0</v>
      </c>
      <c r="AK31" s="349"/>
    </row>
    <row r="32" spans="2:37" x14ac:dyDescent="0.25">
      <c r="B32" s="84"/>
      <c r="C32" s="23" t="s">
        <v>137</v>
      </c>
      <c r="D32" s="23" t="str">
        <f>INDEX(Unit_Rates!$C$7:$K$113,MATCH($C32,Unit_Rates!$C$7:$C$113,0),5)</f>
        <v>Subtransmission</v>
      </c>
      <c r="E32" s="23" t="str">
        <f>INDEX(Unit_Rates!$C$7:$K$113,MATCH($C32,Unit_Rates!$C$7:$C$113,0),6)</f>
        <v>Augmentation</v>
      </c>
      <c r="F32" s="23" t="str">
        <f t="shared" si="5"/>
        <v>SubtransmissionAugmentation</v>
      </c>
      <c r="G32" s="170">
        <f>INDEX(Unit_Rates!$C$7:$K$113,MATCH($C32,Unit_Rates!$C$7:$C$113,0),7)</f>
        <v>1353.9999999999995</v>
      </c>
      <c r="H32" s="171"/>
      <c r="I32" s="123" t="s">
        <v>294</v>
      </c>
      <c r="J32" s="165"/>
      <c r="K32" s="172">
        <f t="shared" ref="K32:K51" si="23">G32*H32</f>
        <v>0</v>
      </c>
      <c r="L32" s="173">
        <f t="shared" si="3"/>
        <v>0</v>
      </c>
      <c r="M32" s="174"/>
      <c r="N32" s="448"/>
      <c r="O32" s="448"/>
      <c r="P32" s="449"/>
      <c r="Q32" s="314">
        <f>P32-H32*VLOOKUP(C32,Unit_Rates!$C$7:$E$113,3,FALSE)</f>
        <v>0</v>
      </c>
      <c r="R32" s="134">
        <v>0</v>
      </c>
      <c r="S32" s="134">
        <v>0</v>
      </c>
      <c r="T32" s="134">
        <v>0</v>
      </c>
      <c r="U32" s="134">
        <v>0</v>
      </c>
      <c r="V32" s="134">
        <v>0</v>
      </c>
      <c r="W32" s="134">
        <v>0</v>
      </c>
      <c r="X32" s="134">
        <v>0</v>
      </c>
      <c r="Y32" s="304">
        <f t="shared" si="4"/>
        <v>0</v>
      </c>
      <c r="AK32" s="349"/>
    </row>
    <row r="33" spans="2:37" x14ac:dyDescent="0.25">
      <c r="B33" s="84"/>
      <c r="C33" s="23" t="s">
        <v>139</v>
      </c>
      <c r="D33" s="23" t="str">
        <f>INDEX(Unit_Rates!$C$7:$K$113,MATCH($C33,Unit_Rates!$C$7:$C$113,0),5)</f>
        <v>Subtransmission</v>
      </c>
      <c r="E33" s="23" t="str">
        <f>INDEX(Unit_Rates!$C$7:$K$113,MATCH($C33,Unit_Rates!$C$7:$C$113,0),6)</f>
        <v>Augmentation</v>
      </c>
      <c r="F33" s="23" t="str">
        <f t="shared" si="5"/>
        <v>SubtransmissionAugmentation</v>
      </c>
      <c r="G33" s="170">
        <f>INDEX(Unit_Rates!$C$7:$K$113,MATCH($C33,Unit_Rates!$C$7:$C$113,0),7)</f>
        <v>1461.1162790697672</v>
      </c>
      <c r="H33" s="171"/>
      <c r="I33" s="123" t="s">
        <v>294</v>
      </c>
      <c r="J33" s="165"/>
      <c r="K33" s="172">
        <f t="shared" si="23"/>
        <v>0</v>
      </c>
      <c r="L33" s="173">
        <f t="shared" si="3"/>
        <v>0</v>
      </c>
      <c r="M33" s="174"/>
      <c r="N33" s="448"/>
      <c r="O33" s="448"/>
      <c r="P33" s="449"/>
      <c r="Q33" s="314">
        <f>P33-H33*VLOOKUP(C33,Unit_Rates!$C$7:$E$113,3,FALSE)</f>
        <v>0</v>
      </c>
      <c r="R33" s="134">
        <v>0</v>
      </c>
      <c r="S33" s="134">
        <v>0</v>
      </c>
      <c r="T33" s="134">
        <v>0</v>
      </c>
      <c r="U33" s="134">
        <v>0</v>
      </c>
      <c r="V33" s="134">
        <v>0</v>
      </c>
      <c r="W33" s="134">
        <v>0</v>
      </c>
      <c r="X33" s="134">
        <v>0</v>
      </c>
      <c r="Y33" s="304">
        <f t="shared" si="4"/>
        <v>0</v>
      </c>
      <c r="AK33" s="349"/>
    </row>
    <row r="34" spans="2:37" x14ac:dyDescent="0.25">
      <c r="B34" s="84"/>
      <c r="C34" s="23" t="s">
        <v>141</v>
      </c>
      <c r="D34" s="23" t="str">
        <f>INDEX(Unit_Rates!$C$7:$K$113,MATCH($C34,Unit_Rates!$C$7:$C$113,0),5)</f>
        <v>Subtransmission</v>
      </c>
      <c r="E34" s="23" t="str">
        <f>INDEX(Unit_Rates!$C$7:$K$113,MATCH($C34,Unit_Rates!$C$7:$C$113,0),6)</f>
        <v>Augmentation</v>
      </c>
      <c r="F34" s="23" t="str">
        <f t="shared" si="5"/>
        <v>SubtransmissionAugmentation</v>
      </c>
      <c r="G34" s="170">
        <f>INDEX(Unit_Rates!$C$7:$K$113,MATCH($C34,Unit_Rates!$C$7:$C$113,0),7)</f>
        <v>699.99999999999989</v>
      </c>
      <c r="H34" s="171"/>
      <c r="I34" s="123" t="s">
        <v>294</v>
      </c>
      <c r="J34" s="165"/>
      <c r="K34" s="172">
        <f t="shared" si="23"/>
        <v>0</v>
      </c>
      <c r="L34" s="173">
        <f t="shared" si="3"/>
        <v>0</v>
      </c>
      <c r="M34" s="174"/>
      <c r="N34" s="448"/>
      <c r="O34" s="448"/>
      <c r="P34" s="449"/>
      <c r="Q34" s="314">
        <f>P34-H34*VLOOKUP(C34,Unit_Rates!$C$7:$E$113,3,FALSE)</f>
        <v>0</v>
      </c>
      <c r="R34" s="134">
        <v>0</v>
      </c>
      <c r="S34" s="134">
        <v>0</v>
      </c>
      <c r="T34" s="134">
        <v>0</v>
      </c>
      <c r="U34" s="134">
        <v>0</v>
      </c>
      <c r="V34" s="134">
        <v>0</v>
      </c>
      <c r="W34" s="134">
        <v>0</v>
      </c>
      <c r="X34" s="134">
        <v>0</v>
      </c>
      <c r="Y34" s="304">
        <f t="shared" si="4"/>
        <v>0</v>
      </c>
      <c r="AK34" s="349"/>
    </row>
    <row r="35" spans="2:37" x14ac:dyDescent="0.25">
      <c r="B35" s="84"/>
      <c r="C35" s="23" t="s">
        <v>147</v>
      </c>
      <c r="D35" s="23" t="str">
        <f>INDEX(Unit_Rates!$C$7:$K$113,MATCH($C35,Unit_Rates!$C$7:$C$113,0),5)</f>
        <v>Subtransmission</v>
      </c>
      <c r="E35" s="23" t="str">
        <f>INDEX(Unit_Rates!$C$7:$K$113,MATCH($C35,Unit_Rates!$C$7:$C$113,0),6)</f>
        <v>Augmentation</v>
      </c>
      <c r="F35" s="23" t="str">
        <f t="shared" si="5"/>
        <v>SubtransmissionAugmentation</v>
      </c>
      <c r="G35" s="170">
        <f>INDEX(Unit_Rates!$C$7:$K$113,MATCH($C35,Unit_Rates!$C$7:$C$113,0),7)</f>
        <v>91.292437209302321</v>
      </c>
      <c r="H35" s="171"/>
      <c r="I35" s="123" t="s">
        <v>294</v>
      </c>
      <c r="J35" s="165"/>
      <c r="K35" s="172">
        <f t="shared" si="23"/>
        <v>0</v>
      </c>
      <c r="L35" s="173">
        <f t="shared" si="3"/>
        <v>0</v>
      </c>
      <c r="M35" s="174"/>
      <c r="N35" s="448"/>
      <c r="O35" s="448"/>
      <c r="P35" s="449"/>
      <c r="Q35" s="314">
        <f>P35-H35*VLOOKUP(C35,Unit_Rates!$C$7:$E$113,3,FALSE)</f>
        <v>0</v>
      </c>
      <c r="R35" s="134">
        <v>0</v>
      </c>
      <c r="S35" s="134">
        <v>0</v>
      </c>
      <c r="T35" s="134">
        <v>0</v>
      </c>
      <c r="U35" s="134">
        <v>0</v>
      </c>
      <c r="V35" s="134">
        <v>0</v>
      </c>
      <c r="W35" s="134">
        <v>0</v>
      </c>
      <c r="X35" s="134">
        <v>0</v>
      </c>
      <c r="Y35" s="304">
        <f t="shared" si="4"/>
        <v>0</v>
      </c>
      <c r="AK35" s="349"/>
    </row>
    <row r="36" spans="2:37" x14ac:dyDescent="0.25">
      <c r="B36" s="84"/>
      <c r="C36" s="23" t="s">
        <v>149</v>
      </c>
      <c r="D36" s="23" t="str">
        <f>INDEX(Unit_Rates!$C$7:$K$113,MATCH($C36,Unit_Rates!$C$7:$C$113,0),5)</f>
        <v>Subtransmission</v>
      </c>
      <c r="E36" s="23" t="str">
        <f>INDEX(Unit_Rates!$C$7:$K$113,MATCH($C36,Unit_Rates!$C$7:$C$113,0),6)</f>
        <v>Augmentation</v>
      </c>
      <c r="F36" s="23" t="str">
        <f t="shared" si="5"/>
        <v>SubtransmissionAugmentation</v>
      </c>
      <c r="G36" s="170">
        <f>INDEX(Unit_Rates!$C$7:$K$113,MATCH($C36,Unit_Rates!$C$7:$C$113,0),7)</f>
        <v>0</v>
      </c>
      <c r="H36" s="171"/>
      <c r="I36" s="123" t="s">
        <v>294</v>
      </c>
      <c r="J36" s="165"/>
      <c r="K36" s="172">
        <f t="shared" si="23"/>
        <v>0</v>
      </c>
      <c r="L36" s="173">
        <f t="shared" si="3"/>
        <v>0</v>
      </c>
      <c r="M36" s="174"/>
      <c r="N36" s="448"/>
      <c r="O36" s="448"/>
      <c r="P36" s="449"/>
      <c r="Q36" s="314">
        <f>P36-H36*VLOOKUP(C36,Unit_Rates!$C$7:$E$113,3,FALSE)</f>
        <v>0</v>
      </c>
      <c r="R36" s="134">
        <v>0</v>
      </c>
      <c r="S36" s="134">
        <v>0</v>
      </c>
      <c r="T36" s="134">
        <v>0</v>
      </c>
      <c r="U36" s="134">
        <v>0</v>
      </c>
      <c r="V36" s="134">
        <v>0</v>
      </c>
      <c r="W36" s="134">
        <v>0</v>
      </c>
      <c r="X36" s="134">
        <v>0</v>
      </c>
      <c r="Y36" s="304">
        <f t="shared" si="4"/>
        <v>0</v>
      </c>
      <c r="AK36" s="349"/>
    </row>
    <row r="37" spans="2:37" x14ac:dyDescent="0.25">
      <c r="B37" s="84"/>
      <c r="C37" s="23" t="s">
        <v>150</v>
      </c>
      <c r="D37" s="23" t="str">
        <f>INDEX(Unit_Rates!$C$7:$K$113,MATCH($C37,Unit_Rates!$C$7:$C$113,0),5)</f>
        <v>Subtransmission</v>
      </c>
      <c r="E37" s="23" t="str">
        <f>INDEX(Unit_Rates!$C$7:$K$113,MATCH($C37,Unit_Rates!$C$7:$C$113,0),6)</f>
        <v>Augmentation</v>
      </c>
      <c r="F37" s="23" t="str">
        <f t="shared" si="5"/>
        <v>SubtransmissionAugmentation</v>
      </c>
      <c r="G37" s="170">
        <f>INDEX(Unit_Rates!$C$7:$K$113,MATCH($C37,Unit_Rates!$C$7:$C$113,0),7)</f>
        <v>107.00599999999997</v>
      </c>
      <c r="H37" s="171"/>
      <c r="I37" s="123" t="s">
        <v>294</v>
      </c>
      <c r="J37" s="165"/>
      <c r="K37" s="172">
        <f t="shared" si="23"/>
        <v>0</v>
      </c>
      <c r="L37" s="173">
        <f t="shared" si="3"/>
        <v>0</v>
      </c>
      <c r="M37" s="174"/>
      <c r="N37" s="448"/>
      <c r="O37" s="448"/>
      <c r="P37" s="449"/>
      <c r="Q37" s="314">
        <f>P37-H37*VLOOKUP(C37,Unit_Rates!$C$7:$E$113,3,FALSE)</f>
        <v>0</v>
      </c>
      <c r="R37" s="134">
        <v>0</v>
      </c>
      <c r="S37" s="134">
        <v>0</v>
      </c>
      <c r="T37" s="134">
        <v>0</v>
      </c>
      <c r="U37" s="134">
        <v>0</v>
      </c>
      <c r="V37" s="134">
        <v>0</v>
      </c>
      <c r="W37" s="134">
        <v>0</v>
      </c>
      <c r="X37" s="134">
        <v>0</v>
      </c>
      <c r="Y37" s="304">
        <f t="shared" si="4"/>
        <v>0</v>
      </c>
      <c r="AK37" s="349"/>
    </row>
    <row r="38" spans="2:37" x14ac:dyDescent="0.25">
      <c r="B38" s="84"/>
      <c r="C38" s="23" t="s">
        <v>152</v>
      </c>
      <c r="D38" s="23" t="str">
        <f>INDEX(Unit_Rates!$C$7:$K$113,MATCH($C38,Unit_Rates!$C$7:$C$113,0),5)</f>
        <v>Subtransmission</v>
      </c>
      <c r="E38" s="23" t="str">
        <f>INDEX(Unit_Rates!$C$7:$K$113,MATCH($C38,Unit_Rates!$C$7:$C$113,0),6)</f>
        <v>Augmentation</v>
      </c>
      <c r="F38" s="23" t="str">
        <f t="shared" si="5"/>
        <v>SubtransmissionAugmentation</v>
      </c>
      <c r="G38" s="170">
        <f>INDEX(Unit_Rates!$C$7:$K$113,MATCH($C38,Unit_Rates!$C$7:$C$113,0),7)</f>
        <v>7.6639999999999979</v>
      </c>
      <c r="H38" s="171">
        <v>4</v>
      </c>
      <c r="I38" s="123" t="s">
        <v>294</v>
      </c>
      <c r="J38" s="165"/>
      <c r="K38" s="172">
        <f t="shared" si="23"/>
        <v>30.655999999999992</v>
      </c>
      <c r="L38" s="173">
        <f t="shared" si="3"/>
        <v>0</v>
      </c>
      <c r="M38" s="174"/>
      <c r="N38" s="448"/>
      <c r="O38" s="448"/>
      <c r="P38" s="449"/>
      <c r="Q38" s="314">
        <f>P38-H38*VLOOKUP(C38,Unit_Rates!$C$7:$E$113,3,FALSE)</f>
        <v>0</v>
      </c>
      <c r="R38" s="134">
        <v>0</v>
      </c>
      <c r="S38" s="134">
        <v>0</v>
      </c>
      <c r="T38" s="134">
        <v>0</v>
      </c>
      <c r="U38" s="134">
        <v>0</v>
      </c>
      <c r="V38" s="134">
        <v>0</v>
      </c>
      <c r="W38" s="134">
        <v>0</v>
      </c>
      <c r="X38" s="134">
        <v>0</v>
      </c>
      <c r="Y38" s="304">
        <f t="shared" si="4"/>
        <v>0</v>
      </c>
      <c r="AK38" s="349"/>
    </row>
    <row r="39" spans="2:37" x14ac:dyDescent="0.25">
      <c r="B39" s="84"/>
      <c r="C39" s="23" t="s">
        <v>156</v>
      </c>
      <c r="D39" s="23" t="str">
        <f>INDEX(Unit_Rates!$C$7:$K$113,MATCH($C39,Unit_Rates!$C$7:$C$113,0),5)</f>
        <v>Subtransmission</v>
      </c>
      <c r="E39" s="23" t="str">
        <f>INDEX(Unit_Rates!$C$7:$K$113,MATCH($C39,Unit_Rates!$C$7:$C$113,0),6)</f>
        <v>Augmentation</v>
      </c>
      <c r="F39" s="23" t="str">
        <f t="shared" si="5"/>
        <v>SubtransmissionAugmentation</v>
      </c>
      <c r="G39" s="170">
        <f>INDEX(Unit_Rates!$C$7:$K$113,MATCH($C39,Unit_Rates!$C$7:$C$113,0),7)</f>
        <v>27.162999999999993</v>
      </c>
      <c r="H39" s="171">
        <v>2</v>
      </c>
      <c r="I39" s="123" t="s">
        <v>294</v>
      </c>
      <c r="J39" s="165"/>
      <c r="K39" s="172">
        <f t="shared" si="23"/>
        <v>54.325999999999986</v>
      </c>
      <c r="L39" s="173">
        <f t="shared" si="3"/>
        <v>0</v>
      </c>
      <c r="M39" s="174"/>
      <c r="N39" s="448"/>
      <c r="O39" s="448"/>
      <c r="P39" s="449"/>
      <c r="Q39" s="314">
        <f>P39-H39*VLOOKUP(C39,Unit_Rates!$C$7:$E$113,3,FALSE)</f>
        <v>0</v>
      </c>
      <c r="R39" s="134">
        <v>0</v>
      </c>
      <c r="S39" s="134">
        <v>0</v>
      </c>
      <c r="T39" s="134">
        <v>0</v>
      </c>
      <c r="U39" s="134">
        <v>0</v>
      </c>
      <c r="V39" s="134">
        <v>0</v>
      </c>
      <c r="W39" s="134">
        <v>0</v>
      </c>
      <c r="X39" s="134">
        <v>0</v>
      </c>
      <c r="Y39" s="304">
        <f t="shared" si="4"/>
        <v>0</v>
      </c>
      <c r="AK39" s="349"/>
    </row>
    <row r="40" spans="2:37" x14ac:dyDescent="0.25">
      <c r="B40" s="84"/>
      <c r="C40" s="23" t="s">
        <v>157</v>
      </c>
      <c r="D40" s="23" t="str">
        <f>INDEX(Unit_Rates!$C$7:$K$113,MATCH($C40,Unit_Rates!$C$7:$C$113,0),5)</f>
        <v>Subtransmission</v>
      </c>
      <c r="E40" s="23" t="str">
        <f>INDEX(Unit_Rates!$C$7:$K$113,MATCH($C40,Unit_Rates!$C$7:$C$113,0),6)</f>
        <v>Augmentation</v>
      </c>
      <c r="F40" s="23" t="str">
        <f t="shared" si="5"/>
        <v>SubtransmissionAugmentation</v>
      </c>
      <c r="G40" s="170">
        <f>INDEX(Unit_Rates!$C$7:$K$113,MATCH($C40,Unit_Rates!$C$7:$C$113,0),7)</f>
        <v>0</v>
      </c>
      <c r="H40" s="171"/>
      <c r="I40" s="123" t="s">
        <v>294</v>
      </c>
      <c r="J40" s="165"/>
      <c r="K40" s="172">
        <f t="shared" si="23"/>
        <v>0</v>
      </c>
      <c r="L40" s="173">
        <f t="shared" si="3"/>
        <v>0</v>
      </c>
      <c r="M40" s="174"/>
      <c r="N40" s="448"/>
      <c r="O40" s="448"/>
      <c r="P40" s="449"/>
      <c r="Q40" s="314">
        <f>P40-H40*VLOOKUP(C40,Unit_Rates!$C$7:$E$113,3,FALSE)</f>
        <v>0</v>
      </c>
      <c r="R40" s="134">
        <v>0</v>
      </c>
      <c r="S40" s="134">
        <v>0</v>
      </c>
      <c r="T40" s="134">
        <v>0</v>
      </c>
      <c r="U40" s="134">
        <v>0</v>
      </c>
      <c r="V40" s="134">
        <v>0</v>
      </c>
      <c r="W40" s="134">
        <v>0</v>
      </c>
      <c r="X40" s="134">
        <v>0</v>
      </c>
      <c r="Y40" s="304">
        <f t="shared" si="4"/>
        <v>0</v>
      </c>
      <c r="AK40" s="349"/>
    </row>
    <row r="41" spans="2:37" x14ac:dyDescent="0.25">
      <c r="B41" s="84"/>
      <c r="C41" s="23" t="s">
        <v>155</v>
      </c>
      <c r="D41" s="23" t="str">
        <f>INDEX(Unit_Rates!$C$7:$K$113,MATCH($C41,Unit_Rates!$C$7:$C$113,0),5)</f>
        <v>Subtransmission</v>
      </c>
      <c r="E41" s="23" t="str">
        <f>INDEX(Unit_Rates!$C$7:$K$113,MATCH($C41,Unit_Rates!$C$7:$C$113,0),6)</f>
        <v>Augmentation</v>
      </c>
      <c r="F41" s="23" t="str">
        <f t="shared" si="5"/>
        <v>SubtransmissionAugmentation</v>
      </c>
      <c r="G41" s="170">
        <f>INDEX(Unit_Rates!$C$7:$K$113,MATCH($C41,Unit_Rates!$C$7:$C$113,0),7)</f>
        <v>0</v>
      </c>
      <c r="H41" s="171">
        <v>2</v>
      </c>
      <c r="I41" s="123" t="s">
        <v>294</v>
      </c>
      <c r="J41" s="165"/>
      <c r="K41" s="172">
        <f t="shared" si="23"/>
        <v>0</v>
      </c>
      <c r="L41" s="173">
        <f t="shared" si="3"/>
        <v>0</v>
      </c>
      <c r="M41" s="174"/>
      <c r="N41" s="448"/>
      <c r="O41" s="448"/>
      <c r="P41" s="449"/>
      <c r="Q41" s="314">
        <f>P41-H41*VLOOKUP(C41,Unit_Rates!$C$7:$E$113,3,FALSE)</f>
        <v>0</v>
      </c>
      <c r="R41" s="134">
        <v>0</v>
      </c>
      <c r="S41" s="134">
        <v>0</v>
      </c>
      <c r="T41" s="134">
        <v>0</v>
      </c>
      <c r="U41" s="134">
        <v>0</v>
      </c>
      <c r="V41" s="134">
        <v>0</v>
      </c>
      <c r="W41" s="134">
        <v>0</v>
      </c>
      <c r="X41" s="134">
        <v>0</v>
      </c>
      <c r="Y41" s="304">
        <f t="shared" si="4"/>
        <v>0</v>
      </c>
      <c r="AK41" s="349"/>
    </row>
    <row r="42" spans="2:37" x14ac:dyDescent="0.25">
      <c r="B42" s="84"/>
      <c r="C42" s="23" t="s">
        <v>159</v>
      </c>
      <c r="D42" s="23" t="str">
        <f>INDEX(Unit_Rates!$C$7:$K$113,MATCH($C42,Unit_Rates!$C$7:$C$113,0),5)</f>
        <v>Subtransmission</v>
      </c>
      <c r="E42" s="23" t="str">
        <f>INDEX(Unit_Rates!$C$7:$K$113,MATCH($C42,Unit_Rates!$C$7:$C$113,0),6)</f>
        <v>Augmentation</v>
      </c>
      <c r="F42" s="23" t="str">
        <f t="shared" si="5"/>
        <v>SubtransmissionAugmentation</v>
      </c>
      <c r="G42" s="170">
        <f>INDEX(Unit_Rates!$C$7:$K$113,MATCH($C42,Unit_Rates!$C$7:$C$113,0),7)</f>
        <v>0.61999999999999977</v>
      </c>
      <c r="H42" s="171">
        <v>2</v>
      </c>
      <c r="I42" s="123" t="s">
        <v>294</v>
      </c>
      <c r="J42" s="165"/>
      <c r="K42" s="172">
        <f t="shared" si="23"/>
        <v>1.2399999999999995</v>
      </c>
      <c r="L42" s="173">
        <f t="shared" si="3"/>
        <v>0</v>
      </c>
      <c r="M42" s="174"/>
      <c r="N42" s="448"/>
      <c r="O42" s="448"/>
      <c r="P42" s="449"/>
      <c r="Q42" s="314">
        <f>P42-H42*VLOOKUP(C42,Unit_Rates!$C$7:$E$113,3,FALSE)</f>
        <v>0</v>
      </c>
      <c r="R42" s="134">
        <v>0</v>
      </c>
      <c r="S42" s="134">
        <v>0</v>
      </c>
      <c r="T42" s="134">
        <v>0</v>
      </c>
      <c r="U42" s="134">
        <v>0</v>
      </c>
      <c r="V42" s="134">
        <v>0</v>
      </c>
      <c r="W42" s="134">
        <v>0</v>
      </c>
      <c r="X42" s="134">
        <v>0</v>
      </c>
      <c r="Y42" s="304">
        <f t="shared" si="4"/>
        <v>0</v>
      </c>
      <c r="AK42" s="349"/>
    </row>
    <row r="43" spans="2:37" x14ac:dyDescent="0.25">
      <c r="B43" s="84"/>
      <c r="C43" s="23" t="s">
        <v>179</v>
      </c>
      <c r="D43" s="23" t="str">
        <f>INDEX(Unit_Rates!$C$7:$K$113,MATCH($C43,Unit_Rates!$C$7:$C$113,0),5)</f>
        <v>Subtransmission</v>
      </c>
      <c r="E43" s="23" t="str">
        <f>INDEX(Unit_Rates!$C$7:$K$113,MATCH($C43,Unit_Rates!$C$7:$C$113,0),6)</f>
        <v>Augmentation</v>
      </c>
      <c r="F43" s="23" t="str">
        <f t="shared" si="5"/>
        <v>SubtransmissionAugmentation</v>
      </c>
      <c r="G43" s="170">
        <f>INDEX(Unit_Rates!$C$7:$K$113,MATCH($C43,Unit_Rates!$C$7:$C$113,0),7)</f>
        <v>0</v>
      </c>
      <c r="H43" s="171">
        <v>2</v>
      </c>
      <c r="I43" s="123" t="s">
        <v>294</v>
      </c>
      <c r="J43" s="165"/>
      <c r="K43" s="172">
        <f t="shared" si="23"/>
        <v>0</v>
      </c>
      <c r="L43" s="173">
        <f t="shared" si="3"/>
        <v>0</v>
      </c>
      <c r="M43" s="174"/>
      <c r="N43" s="448"/>
      <c r="O43" s="448"/>
      <c r="P43" s="449"/>
      <c r="Q43" s="314">
        <f>P43-H43*VLOOKUP(C43,Unit_Rates!$C$7:$E$113,3,FALSE)</f>
        <v>0</v>
      </c>
      <c r="R43" s="134">
        <v>0</v>
      </c>
      <c r="S43" s="134">
        <v>0</v>
      </c>
      <c r="T43" s="134">
        <v>0</v>
      </c>
      <c r="U43" s="134">
        <v>0</v>
      </c>
      <c r="V43" s="134">
        <v>0</v>
      </c>
      <c r="W43" s="134">
        <v>0</v>
      </c>
      <c r="X43" s="134">
        <v>0</v>
      </c>
      <c r="Y43" s="304">
        <f t="shared" si="4"/>
        <v>0</v>
      </c>
      <c r="AK43" s="349"/>
    </row>
    <row r="44" spans="2:37" x14ac:dyDescent="0.25">
      <c r="B44" s="84"/>
      <c r="C44" s="23" t="s">
        <v>161</v>
      </c>
      <c r="D44" s="23" t="str">
        <f>INDEX(Unit_Rates!$C$7:$K$113,MATCH($C44,Unit_Rates!$C$7:$C$113,0),5)</f>
        <v>Subtransmission</v>
      </c>
      <c r="E44" s="23" t="str">
        <f>INDEX(Unit_Rates!$C$7:$K$113,MATCH($C44,Unit_Rates!$C$7:$C$113,0),6)</f>
        <v>Augmentation</v>
      </c>
      <c r="F44" s="23" t="str">
        <f t="shared" si="5"/>
        <v>SubtransmissionAugmentation</v>
      </c>
      <c r="G44" s="170">
        <f>INDEX(Unit_Rates!$C$7:$K$113,MATCH($C44,Unit_Rates!$C$7:$C$113,0),7)</f>
        <v>93.853999999999985</v>
      </c>
      <c r="H44" s="171"/>
      <c r="I44" s="123" t="s">
        <v>294</v>
      </c>
      <c r="J44" s="165"/>
      <c r="K44" s="172">
        <f t="shared" si="23"/>
        <v>0</v>
      </c>
      <c r="L44" s="173">
        <f t="shared" si="3"/>
        <v>0</v>
      </c>
      <c r="M44" s="174"/>
      <c r="N44" s="448"/>
      <c r="O44" s="448"/>
      <c r="P44" s="449"/>
      <c r="Q44" s="314">
        <f>P44-H44*VLOOKUP(C44,Unit_Rates!$C$7:$E$113,3,FALSE)</f>
        <v>0</v>
      </c>
      <c r="R44" s="134">
        <v>0</v>
      </c>
      <c r="S44" s="134">
        <v>0</v>
      </c>
      <c r="T44" s="134">
        <v>0</v>
      </c>
      <c r="U44" s="134">
        <v>0</v>
      </c>
      <c r="V44" s="134">
        <v>0</v>
      </c>
      <c r="W44" s="134">
        <v>0</v>
      </c>
      <c r="X44" s="134">
        <v>0</v>
      </c>
      <c r="Y44" s="304">
        <f t="shared" si="4"/>
        <v>0</v>
      </c>
      <c r="AK44" s="349"/>
    </row>
    <row r="45" spans="2:37" x14ac:dyDescent="0.25">
      <c r="B45" s="84"/>
      <c r="C45" s="23" t="s">
        <v>441</v>
      </c>
      <c r="D45" s="23" t="str">
        <f>INDEX(Unit_Rates!$C$7:$K$113,MATCH($C45,Unit_Rates!$C$7:$C$113,0),5)</f>
        <v>Subtransmission</v>
      </c>
      <c r="E45" s="23" t="str">
        <f>INDEX(Unit_Rates!$C$7:$K$113,MATCH($C45,Unit_Rates!$C$7:$C$113,0),6)</f>
        <v>Augmentation</v>
      </c>
      <c r="F45" s="23" t="str">
        <f t="shared" si="5"/>
        <v>SubtransmissionAugmentation</v>
      </c>
      <c r="G45" s="170">
        <f>INDEX(Unit_Rates!$C$7:$K$113,MATCH($C45,Unit_Rates!$C$7:$C$113,0),7)</f>
        <v>109.17591463414668</v>
      </c>
      <c r="H45" s="171">
        <v>2</v>
      </c>
      <c r="I45" s="123" t="s">
        <v>294</v>
      </c>
      <c r="J45" s="165"/>
      <c r="K45" s="172">
        <f t="shared" si="23"/>
        <v>218.35182926829336</v>
      </c>
      <c r="L45" s="173">
        <f t="shared" si="3"/>
        <v>0</v>
      </c>
      <c r="M45" s="174"/>
      <c r="N45" s="448"/>
      <c r="O45" s="448"/>
      <c r="P45" s="449"/>
      <c r="Q45" s="314">
        <f>P45-H45*VLOOKUP(C45,Unit_Rates!$C$7:$E$113,3,FALSE)</f>
        <v>0</v>
      </c>
      <c r="R45" s="134">
        <v>0</v>
      </c>
      <c r="S45" s="134">
        <v>0</v>
      </c>
      <c r="T45" s="134">
        <v>0</v>
      </c>
      <c r="U45" s="134">
        <v>0</v>
      </c>
      <c r="V45" s="134">
        <v>0</v>
      </c>
      <c r="W45" s="134">
        <v>0</v>
      </c>
      <c r="X45" s="134">
        <v>0</v>
      </c>
      <c r="Y45" s="304">
        <f t="shared" si="4"/>
        <v>0</v>
      </c>
      <c r="AK45" s="349"/>
    </row>
    <row r="46" spans="2:37" x14ac:dyDescent="0.25">
      <c r="B46" s="84"/>
      <c r="C46" s="23" t="s">
        <v>167</v>
      </c>
      <c r="D46" s="23" t="str">
        <f>INDEX(Unit_Rates!$C$7:$K$113,MATCH($C46,Unit_Rates!$C$7:$C$113,0),5)</f>
        <v>Subtransmission</v>
      </c>
      <c r="E46" s="23" t="str">
        <f>INDEX(Unit_Rates!$C$7:$K$113,MATCH($C46,Unit_Rates!$C$7:$C$113,0),6)</f>
        <v>Augmentation</v>
      </c>
      <c r="F46" s="23" t="str">
        <f t="shared" si="5"/>
        <v>SubtransmissionAugmentation</v>
      </c>
      <c r="G46" s="170">
        <f>INDEX(Unit_Rates!$C$7:$K$113,MATCH($C46,Unit_Rates!$C$7:$C$113,0),7)</f>
        <v>227.62999999999997</v>
      </c>
      <c r="H46" s="171"/>
      <c r="I46" s="123" t="s">
        <v>294</v>
      </c>
      <c r="J46" s="165"/>
      <c r="K46" s="172">
        <f t="shared" si="23"/>
        <v>0</v>
      </c>
      <c r="L46" s="173">
        <f t="shared" si="3"/>
        <v>0</v>
      </c>
      <c r="M46" s="174"/>
      <c r="N46" s="448"/>
      <c r="O46" s="448"/>
      <c r="P46" s="449"/>
      <c r="Q46" s="314">
        <f>P46-H46*VLOOKUP(C46,Unit_Rates!$C$7:$E$113,3,FALSE)</f>
        <v>0</v>
      </c>
      <c r="R46" s="134">
        <v>0</v>
      </c>
      <c r="S46" s="134">
        <v>0</v>
      </c>
      <c r="T46" s="134">
        <v>0</v>
      </c>
      <c r="U46" s="134">
        <v>0</v>
      </c>
      <c r="V46" s="134">
        <v>0</v>
      </c>
      <c r="W46" s="134">
        <v>0</v>
      </c>
      <c r="X46" s="134">
        <v>0</v>
      </c>
      <c r="Y46" s="304">
        <f t="shared" si="4"/>
        <v>0</v>
      </c>
      <c r="AK46" s="349"/>
    </row>
    <row r="47" spans="2:37" x14ac:dyDescent="0.25">
      <c r="B47" s="84"/>
      <c r="C47" s="23" t="s">
        <v>171</v>
      </c>
      <c r="D47" s="23" t="str">
        <f>INDEX(Unit_Rates!$C$7:$K$113,MATCH($C47,Unit_Rates!$C$7:$C$113,0),5)</f>
        <v>Subtransmission</v>
      </c>
      <c r="E47" s="23" t="str">
        <f>INDEX(Unit_Rates!$C$7:$K$113,MATCH($C47,Unit_Rates!$C$7:$C$113,0),6)</f>
        <v>Augmentation</v>
      </c>
      <c r="F47" s="23" t="str">
        <f t="shared" si="5"/>
        <v>SubtransmissionAugmentation</v>
      </c>
      <c r="G47" s="170">
        <f>INDEX(Unit_Rates!$C$7:$K$113,MATCH($C47,Unit_Rates!$C$7:$C$113,0),7)</f>
        <v>369.03899999999987</v>
      </c>
      <c r="H47" s="171"/>
      <c r="I47" s="123" t="s">
        <v>294</v>
      </c>
      <c r="J47" s="165"/>
      <c r="K47" s="172">
        <f t="shared" si="23"/>
        <v>0</v>
      </c>
      <c r="L47" s="173">
        <f t="shared" si="3"/>
        <v>0</v>
      </c>
      <c r="M47" s="174"/>
      <c r="N47" s="448"/>
      <c r="O47" s="448"/>
      <c r="P47" s="449"/>
      <c r="Q47" s="314">
        <f>P47-H47*VLOOKUP(C47,Unit_Rates!$C$7:$E$113,3,FALSE)</f>
        <v>0</v>
      </c>
      <c r="R47" s="134">
        <v>0</v>
      </c>
      <c r="S47" s="134">
        <v>0</v>
      </c>
      <c r="T47" s="134">
        <v>0</v>
      </c>
      <c r="U47" s="134">
        <v>0</v>
      </c>
      <c r="V47" s="134">
        <v>0</v>
      </c>
      <c r="W47" s="134">
        <v>0</v>
      </c>
      <c r="X47" s="134">
        <v>0</v>
      </c>
      <c r="Y47" s="304">
        <f t="shared" si="4"/>
        <v>0</v>
      </c>
      <c r="AK47" s="349"/>
    </row>
    <row r="48" spans="2:37" x14ac:dyDescent="0.25">
      <c r="B48" s="84"/>
      <c r="C48" s="23" t="s">
        <v>173</v>
      </c>
      <c r="D48" s="23" t="str">
        <f>INDEX(Unit_Rates!$C$7:$K$113,MATCH($C48,Unit_Rates!$C$7:$C$113,0),5)</f>
        <v>Subtransmission</v>
      </c>
      <c r="E48" s="23" t="str">
        <f>INDEX(Unit_Rates!$C$7:$K$113,MATCH($C48,Unit_Rates!$C$7:$C$113,0),6)</f>
        <v>Augmentation</v>
      </c>
      <c r="F48" s="23" t="str">
        <f t="shared" si="5"/>
        <v>SubtransmissionAugmentation</v>
      </c>
      <c r="G48" s="170">
        <v>6.5963196666666668E-2</v>
      </c>
      <c r="H48" s="171">
        <v>120</v>
      </c>
      <c r="I48" s="123" t="s">
        <v>295</v>
      </c>
      <c r="J48" s="165"/>
      <c r="K48" s="172">
        <f t="shared" si="23"/>
        <v>7.9155835999999997</v>
      </c>
      <c r="L48" s="173">
        <f t="shared" si="3"/>
        <v>0</v>
      </c>
      <c r="M48" s="174"/>
      <c r="N48" s="448"/>
      <c r="O48" s="448"/>
      <c r="P48" s="449"/>
      <c r="Q48" s="152"/>
      <c r="R48" s="134">
        <v>0</v>
      </c>
      <c r="S48" s="134">
        <v>0</v>
      </c>
      <c r="T48" s="134">
        <v>0</v>
      </c>
      <c r="U48" s="134">
        <v>0</v>
      </c>
      <c r="V48" s="134">
        <v>0</v>
      </c>
      <c r="W48" s="134">
        <v>0</v>
      </c>
      <c r="X48" s="134">
        <v>0</v>
      </c>
      <c r="Y48" s="304">
        <f t="shared" si="4"/>
        <v>0</v>
      </c>
      <c r="AK48" s="349"/>
    </row>
    <row r="49" spans="2:37" x14ac:dyDescent="0.25">
      <c r="B49" s="84"/>
      <c r="C49" s="23" t="s">
        <v>177</v>
      </c>
      <c r="D49" s="23" t="str">
        <f>INDEX(Unit_Rates!$C$7:$K$113,MATCH($C49,Unit_Rates!$C$7:$C$113,0),5)</f>
        <v>Subtransmission</v>
      </c>
      <c r="E49" s="23" t="str">
        <f>INDEX(Unit_Rates!$C$7:$K$113,MATCH($C49,Unit_Rates!$C$7:$C$113,0),6)</f>
        <v>Augmentation</v>
      </c>
      <c r="F49" s="23" t="str">
        <f t="shared" si="5"/>
        <v>SubtransmissionAugmentation</v>
      </c>
      <c r="G49" s="179">
        <f>INDEX(Unit_Rates!$C$7:$K$113,MATCH($C49,Unit_Rates!$C$7:$C$113,0),7)</f>
        <v>4.9999999999999996E-2</v>
      </c>
      <c r="H49" s="171"/>
      <c r="I49" s="123" t="s">
        <v>295</v>
      </c>
      <c r="J49" s="165"/>
      <c r="K49" s="172">
        <f t="shared" si="23"/>
        <v>0</v>
      </c>
      <c r="L49" s="173">
        <f t="shared" si="3"/>
        <v>0</v>
      </c>
      <c r="M49" s="174"/>
      <c r="N49" s="448"/>
      <c r="O49" s="448"/>
      <c r="P49" s="449"/>
      <c r="Q49" s="314">
        <f>P49-H49*VLOOKUP(C49,Unit_Rates!$C$7:$E$113,3,FALSE)</f>
        <v>0</v>
      </c>
      <c r="R49" s="134">
        <v>0</v>
      </c>
      <c r="S49" s="134">
        <v>0</v>
      </c>
      <c r="T49" s="134">
        <v>0</v>
      </c>
      <c r="U49" s="134">
        <v>0</v>
      </c>
      <c r="V49" s="134">
        <v>0</v>
      </c>
      <c r="W49" s="134">
        <v>0</v>
      </c>
      <c r="X49" s="134">
        <v>0</v>
      </c>
      <c r="Y49" s="304">
        <f t="shared" si="4"/>
        <v>0</v>
      </c>
      <c r="AK49" s="318"/>
    </row>
    <row r="50" spans="2:37" x14ac:dyDescent="0.25">
      <c r="B50" s="84"/>
      <c r="C50" s="23" t="s">
        <v>25</v>
      </c>
      <c r="D50" t="s">
        <v>3</v>
      </c>
      <c r="E50" t="s">
        <v>27</v>
      </c>
      <c r="F50" s="23" t="str">
        <f t="shared" si="5"/>
        <v>SubtransmissionAugmentation</v>
      </c>
      <c r="G50" s="170">
        <v>0</v>
      </c>
      <c r="H50" s="171"/>
      <c r="I50" s="123" t="s">
        <v>294</v>
      </c>
      <c r="J50" s="165"/>
      <c r="K50" s="172">
        <f t="shared" si="23"/>
        <v>0</v>
      </c>
      <c r="L50" s="173">
        <f t="shared" si="3"/>
        <v>0</v>
      </c>
      <c r="M50" s="174"/>
      <c r="N50" s="448"/>
      <c r="O50" s="451"/>
      <c r="P50" s="449"/>
      <c r="Q50" s="152"/>
      <c r="R50" s="134">
        <v>0</v>
      </c>
      <c r="S50" s="134">
        <v>0</v>
      </c>
      <c r="T50" s="134">
        <v>0</v>
      </c>
      <c r="U50" s="134">
        <v>0</v>
      </c>
      <c r="V50" s="134">
        <v>0</v>
      </c>
      <c r="W50" s="134">
        <v>0</v>
      </c>
      <c r="X50" s="134">
        <v>0</v>
      </c>
      <c r="Y50" s="304">
        <f t="shared" si="4"/>
        <v>0</v>
      </c>
      <c r="AK50" s="349"/>
    </row>
    <row r="51" spans="2:37" x14ac:dyDescent="0.25">
      <c r="B51" s="84"/>
      <c r="C51" s="23" t="s">
        <v>337</v>
      </c>
      <c r="D51" s="23" t="str">
        <f>INDEX(Unit_Rates!$C$7:$K$113,MATCH($C51,Unit_Rates!$C$7:$C$113,0),5)</f>
        <v>Subtransmission</v>
      </c>
      <c r="E51" s="23" t="str">
        <f>INDEX(Unit_Rates!$C$7:$K$113,MATCH($C51,Unit_Rates!$C$7:$C$113,0),6)</f>
        <v>Augmentation</v>
      </c>
      <c r="F51" s="23" t="str">
        <f t="shared" si="5"/>
        <v>SubtransmissionAugmentation</v>
      </c>
      <c r="G51" s="170">
        <f>INDEX(Unit_Rates!$C$7:$K$113,MATCH($C51,Unit_Rates!$C$7:$C$113,0),7)</f>
        <v>465.78000000000003</v>
      </c>
      <c r="H51" s="171"/>
      <c r="I51" s="123" t="s">
        <v>294</v>
      </c>
      <c r="J51" s="165"/>
      <c r="K51" s="172">
        <f t="shared" si="23"/>
        <v>0</v>
      </c>
      <c r="L51" s="173">
        <f t="shared" si="3"/>
        <v>0</v>
      </c>
      <c r="M51" s="174"/>
      <c r="N51" s="448"/>
      <c r="O51" s="448"/>
      <c r="P51" s="449"/>
      <c r="Q51" s="314">
        <f>P51-H51*VLOOKUP(C51,Unit_Rates!$C$7:$E$113,3,FALSE)</f>
        <v>0</v>
      </c>
      <c r="R51" s="134">
        <v>0</v>
      </c>
      <c r="S51" s="134">
        <v>0</v>
      </c>
      <c r="T51" s="134">
        <v>0</v>
      </c>
      <c r="U51" s="134">
        <v>0</v>
      </c>
      <c r="V51" s="134">
        <v>0</v>
      </c>
      <c r="W51" s="134">
        <v>0</v>
      </c>
      <c r="X51" s="134">
        <v>0</v>
      </c>
      <c r="Y51" s="304">
        <f t="shared" si="4"/>
        <v>0</v>
      </c>
      <c r="AK51" s="349"/>
    </row>
    <row r="52" spans="2:37" x14ac:dyDescent="0.25">
      <c r="B52" s="84"/>
      <c r="C52" s="23" t="s">
        <v>183</v>
      </c>
      <c r="D52" s="23" t="str">
        <f>INDEX(Unit_Rates!$C$7:$K$113,MATCH($C52,Unit_Rates!$C$7:$C$113,0),5)</f>
        <v>Subtransmission</v>
      </c>
      <c r="E52" s="23" t="str">
        <f>INDEX(Unit_Rates!$C$7:$K$113,MATCH($C52,Unit_Rates!$C$7:$C$113,0),6)</f>
        <v>Augmentation</v>
      </c>
      <c r="F52" s="23" t="str">
        <f t="shared" si="5"/>
        <v>SubtransmissionAugmentation</v>
      </c>
      <c r="G52" s="170">
        <f>INDEX(Unit_Rates!$C$7:$K$113,MATCH($C52,Unit_Rates!$C$7:$C$113,0),7)</f>
        <v>0</v>
      </c>
      <c r="H52" s="171"/>
      <c r="I52" s="123" t="s">
        <v>294</v>
      </c>
      <c r="J52" s="165"/>
      <c r="K52" s="172">
        <v>0</v>
      </c>
      <c r="L52" s="173">
        <f t="shared" si="3"/>
        <v>0</v>
      </c>
      <c r="M52" s="174"/>
      <c r="N52" s="448"/>
      <c r="O52" s="448"/>
      <c r="P52" s="449"/>
      <c r="Q52" s="314">
        <f>P52-H52*VLOOKUP(C52,Unit_Rates!$C$7:$E$113,3,FALSE)</f>
        <v>0</v>
      </c>
      <c r="R52" s="134">
        <v>0</v>
      </c>
      <c r="S52" s="134">
        <v>0</v>
      </c>
      <c r="T52" s="134">
        <v>0</v>
      </c>
      <c r="U52" s="134">
        <v>0</v>
      </c>
      <c r="V52" s="134">
        <v>0</v>
      </c>
      <c r="W52" s="134">
        <v>0</v>
      </c>
      <c r="X52" s="134">
        <v>0</v>
      </c>
      <c r="Y52" s="304">
        <f t="shared" ref="Y52:Y60" si="24">SUM(R52:X52)</f>
        <v>0</v>
      </c>
      <c r="AK52" s="349"/>
    </row>
    <row r="53" spans="2:37" x14ac:dyDescent="0.25">
      <c r="B53" s="84"/>
      <c r="C53" s="23"/>
      <c r="G53" s="170"/>
      <c r="H53" s="171"/>
      <c r="I53" s="167"/>
      <c r="J53" s="165"/>
      <c r="K53" s="149"/>
      <c r="L53" s="167"/>
      <c r="M53" s="169"/>
      <c r="N53" s="168"/>
      <c r="O53" s="168"/>
      <c r="P53" s="169"/>
      <c r="Q53" s="152"/>
      <c r="R53" s="134">
        <v>0</v>
      </c>
      <c r="S53" s="134">
        <v>0</v>
      </c>
      <c r="T53" s="134">
        <v>0</v>
      </c>
      <c r="U53" s="134">
        <v>0</v>
      </c>
      <c r="V53" s="134">
        <v>0</v>
      </c>
      <c r="W53" s="134">
        <v>0</v>
      </c>
      <c r="X53" s="134">
        <v>0</v>
      </c>
      <c r="Y53" s="304">
        <f t="shared" si="24"/>
        <v>0</v>
      </c>
      <c r="AK53" s="349"/>
    </row>
    <row r="54" spans="2:37" x14ac:dyDescent="0.25">
      <c r="B54" s="120" t="s">
        <v>296</v>
      </c>
      <c r="C54" s="23"/>
      <c r="G54" s="170"/>
      <c r="H54" s="171"/>
      <c r="I54" s="123"/>
      <c r="J54" s="153"/>
      <c r="K54" s="172"/>
      <c r="L54" s="172"/>
      <c r="M54" s="181"/>
      <c r="N54" s="182"/>
      <c r="O54" s="181"/>
      <c r="P54" s="126"/>
      <c r="Q54" s="152"/>
      <c r="R54" s="134">
        <v>0</v>
      </c>
      <c r="S54" s="134">
        <v>0</v>
      </c>
      <c r="T54" s="134">
        <v>0</v>
      </c>
      <c r="U54" s="134">
        <v>0</v>
      </c>
      <c r="V54" s="134">
        <v>0</v>
      </c>
      <c r="W54" s="134">
        <v>0</v>
      </c>
      <c r="X54" s="134">
        <v>0</v>
      </c>
      <c r="Y54" s="304">
        <f t="shared" si="24"/>
        <v>0</v>
      </c>
      <c r="AK54" s="349"/>
    </row>
    <row r="55" spans="2:37" x14ac:dyDescent="0.25">
      <c r="B55" s="84"/>
      <c r="C55" s="23" t="s">
        <v>348</v>
      </c>
      <c r="D55" s="23" t="str">
        <f>INDEX(Unit_Rates!$C$7:$K$113,MATCH($C55,Unit_Rates!$C$7:$C$113,0),5)</f>
        <v>SCADA/Network control</v>
      </c>
      <c r="E55" s="23" t="str">
        <f>INDEX(Unit_Rates!$C$7:$K$113,MATCH($C55,Unit_Rates!$C$7:$C$113,0),6)</f>
        <v>Augmentation</v>
      </c>
      <c r="F55" s="23" t="str">
        <f t="shared" ref="F55:F57" si="25">D55&amp;E55</f>
        <v>SCADA/Network controlAugmentation</v>
      </c>
      <c r="G55" s="170">
        <f>INDEX(Unit_Rates!$C$7:$K$113,MATCH($C55,Unit_Rates!$C$7:$C$113,0),7)</f>
        <v>76.729563200000001</v>
      </c>
      <c r="H55" s="171"/>
      <c r="I55" s="123" t="s">
        <v>294</v>
      </c>
      <c r="J55" s="165"/>
      <c r="K55" s="172">
        <f>G55*H55</f>
        <v>0</v>
      </c>
      <c r="L55" s="172">
        <f t="shared" ref="L55:L66" si="26">SUMPRODUCT(R$5:X$5,R55:X55)/Thousands</f>
        <v>0</v>
      </c>
      <c r="M55" s="151"/>
      <c r="N55" s="448"/>
      <c r="O55" s="448"/>
      <c r="P55" s="449"/>
      <c r="Q55" s="314">
        <f>P55-H55*VLOOKUP(C55,Unit_Rates!$C$58:$E$113,3,FALSE)</f>
        <v>0</v>
      </c>
      <c r="R55" s="134">
        <v>0</v>
      </c>
      <c r="S55" s="134">
        <v>0</v>
      </c>
      <c r="T55" s="134">
        <v>0</v>
      </c>
      <c r="U55" s="134">
        <v>0</v>
      </c>
      <c r="V55" s="134">
        <v>0</v>
      </c>
      <c r="W55" s="134">
        <v>0</v>
      </c>
      <c r="X55" s="134">
        <v>0</v>
      </c>
      <c r="Y55" s="304">
        <f t="shared" si="24"/>
        <v>0</v>
      </c>
      <c r="AK55" s="349"/>
    </row>
    <row r="56" spans="2:37" x14ac:dyDescent="0.25">
      <c r="B56" s="84"/>
      <c r="C56" s="23" t="s">
        <v>349</v>
      </c>
      <c r="D56" s="23" t="str">
        <f>INDEX(Unit_Rates!$C$7:$K$113,MATCH($C56,Unit_Rates!$C$7:$C$113,0),5)</f>
        <v>SCADA/Network control</v>
      </c>
      <c r="E56" s="23" t="str">
        <f>INDEX(Unit_Rates!$C$7:$K$113,MATCH($C56,Unit_Rates!$C$7:$C$113,0),6)</f>
        <v>Augmentation</v>
      </c>
      <c r="F56" s="23" t="str">
        <f t="shared" si="25"/>
        <v>SCADA/Network controlAugmentation</v>
      </c>
      <c r="G56" s="170">
        <f>INDEX(Unit_Rates!$C$7:$K$113,MATCH($C56,Unit_Rates!$C$7:$C$113,0),7)</f>
        <v>223.65781870000001</v>
      </c>
      <c r="H56" s="171"/>
      <c r="I56" s="123" t="s">
        <v>294</v>
      </c>
      <c r="J56" s="165"/>
      <c r="K56" s="172">
        <f>G56*H56</f>
        <v>0</v>
      </c>
      <c r="L56" s="172">
        <f t="shared" si="26"/>
        <v>0</v>
      </c>
      <c r="M56" s="151"/>
      <c r="N56" s="448"/>
      <c r="O56" s="448"/>
      <c r="P56" s="449"/>
      <c r="Q56" s="314">
        <f>P56-H56*VLOOKUP(C56,Unit_Rates!$C$58:$E$113,3,FALSE)</f>
        <v>0</v>
      </c>
      <c r="R56" s="134">
        <v>0</v>
      </c>
      <c r="S56" s="134">
        <v>0</v>
      </c>
      <c r="T56" s="134">
        <v>0</v>
      </c>
      <c r="U56" s="134">
        <v>0</v>
      </c>
      <c r="V56" s="134">
        <v>0</v>
      </c>
      <c r="W56" s="134">
        <v>0</v>
      </c>
      <c r="X56" s="134">
        <v>0</v>
      </c>
      <c r="Y56" s="304">
        <f t="shared" si="24"/>
        <v>0</v>
      </c>
      <c r="AK56" s="349"/>
    </row>
    <row r="57" spans="2:37" x14ac:dyDescent="0.25">
      <c r="B57" s="84"/>
      <c r="C57" s="23" t="s">
        <v>350</v>
      </c>
      <c r="D57" s="23" t="str">
        <f>INDEX(Unit_Rates!$C$7:$K$113,MATCH($C57,Unit_Rates!$C$7:$C$113,0),5)</f>
        <v>SCADA/Network control</v>
      </c>
      <c r="E57" s="23" t="str">
        <f>INDEX(Unit_Rates!$C$7:$K$113,MATCH($C57,Unit_Rates!$C$7:$C$113,0),6)</f>
        <v>Augmentation</v>
      </c>
      <c r="F57" s="23" t="str">
        <f t="shared" si="25"/>
        <v>SCADA/Network controlAugmentation</v>
      </c>
      <c r="G57" s="170">
        <f>INDEX(Unit_Rates!$C$7:$K$113,MATCH($C57,Unit_Rates!$C$7:$C$113,0),7)</f>
        <v>252.11545104999999</v>
      </c>
      <c r="H57" s="171"/>
      <c r="I57" s="123" t="s">
        <v>294</v>
      </c>
      <c r="J57" s="165"/>
      <c r="K57" s="172">
        <f t="shared" ref="K57" si="27">G57*H57</f>
        <v>0</v>
      </c>
      <c r="L57" s="172">
        <f t="shared" ref="L57" si="28">SUMPRODUCT(R$5:X$5,R57:X57)/Thousands</f>
        <v>0</v>
      </c>
      <c r="M57" s="151"/>
      <c r="N57" s="448"/>
      <c r="O57" s="448"/>
      <c r="P57" s="449"/>
      <c r="Q57" s="314">
        <f>P57-H57*VLOOKUP(C57,Unit_Rates!$C$58:$E$113,3,FALSE)</f>
        <v>0</v>
      </c>
      <c r="R57" s="134">
        <v>0</v>
      </c>
      <c r="S57" s="134">
        <v>0</v>
      </c>
      <c r="T57" s="134">
        <v>0</v>
      </c>
      <c r="U57" s="134">
        <v>0</v>
      </c>
      <c r="V57" s="134">
        <v>0</v>
      </c>
      <c r="W57" s="134">
        <v>0</v>
      </c>
      <c r="X57" s="134">
        <v>0</v>
      </c>
      <c r="Y57" s="304">
        <f t="shared" si="24"/>
        <v>0</v>
      </c>
      <c r="AK57" s="349"/>
    </row>
    <row r="58" spans="2:37" x14ac:dyDescent="0.25">
      <c r="B58" s="84"/>
      <c r="C58" s="23" t="s">
        <v>187</v>
      </c>
      <c r="D58" s="23" t="str">
        <f>INDEX(Unit_Rates!$C$7:$K$113,MATCH($C58,Unit_Rates!$C$7:$C$113,0),5)</f>
        <v>SCADA/Network control</v>
      </c>
      <c r="E58" s="23" t="str">
        <f>INDEX(Unit_Rates!$C$7:$K$113,MATCH($C58,Unit_Rates!$C$7:$C$113,0),6)</f>
        <v>Augmentation</v>
      </c>
      <c r="F58" s="23" t="str">
        <f t="shared" ref="F58:F60" si="29">D58&amp;E58</f>
        <v>SCADA/Network controlAugmentation</v>
      </c>
      <c r="G58" s="170">
        <f>INDEX(Unit_Rates!$C$7:$K$113,MATCH($C58,Unit_Rates!$C$7:$C$113,0),7)</f>
        <v>48.982274401473298</v>
      </c>
      <c r="H58" s="171"/>
      <c r="I58" s="123" t="s">
        <v>294</v>
      </c>
      <c r="J58" s="165"/>
      <c r="K58" s="172">
        <f t="shared" ref="K58" si="30">G58*H58</f>
        <v>0</v>
      </c>
      <c r="L58" s="172">
        <f t="shared" ref="L58" si="31">SUMPRODUCT(R$5:X$5,R58:X58)/Thousands</f>
        <v>0</v>
      </c>
      <c r="M58" s="151"/>
      <c r="N58" s="448"/>
      <c r="O58" s="448"/>
      <c r="P58" s="449"/>
      <c r="Q58" s="314">
        <f>P58-H58*VLOOKUP(C58,Unit_Rates!$C$58:$E$113,3,FALSE)</f>
        <v>0</v>
      </c>
      <c r="R58" s="134">
        <v>0</v>
      </c>
      <c r="S58" s="134">
        <v>0</v>
      </c>
      <c r="T58" s="134">
        <v>0</v>
      </c>
      <c r="U58" s="134">
        <v>0</v>
      </c>
      <c r="V58" s="134">
        <v>0</v>
      </c>
      <c r="W58" s="134">
        <v>0</v>
      </c>
      <c r="X58" s="134">
        <v>0</v>
      </c>
      <c r="Y58" s="304">
        <f t="shared" si="24"/>
        <v>0</v>
      </c>
      <c r="AK58" s="349"/>
    </row>
    <row r="59" spans="2:37" x14ac:dyDescent="0.25">
      <c r="B59" s="84"/>
      <c r="C59" s="23" t="s">
        <v>190</v>
      </c>
      <c r="D59" s="23" t="str">
        <f>INDEX(Unit_Rates!$C$7:$K$113,MATCH($C59,Unit_Rates!$C$7:$C$113,0),5)</f>
        <v>SCADA/Network control</v>
      </c>
      <c r="E59" s="23" t="str">
        <f>INDEX(Unit_Rates!$C$7:$K$113,MATCH($C59,Unit_Rates!$C$7:$C$113,0),6)</f>
        <v>Augmentation</v>
      </c>
      <c r="F59" s="23" t="str">
        <f t="shared" si="29"/>
        <v>SCADA/Network controlAugmentation</v>
      </c>
      <c r="G59" s="170">
        <f>INDEX(Unit_Rates!$C$7:$K$113,MATCH($C59,Unit_Rates!$C$7:$C$113,0),7)</f>
        <v>6.2430939226519344</v>
      </c>
      <c r="H59" s="171"/>
      <c r="I59" s="123" t="s">
        <v>294</v>
      </c>
      <c r="J59" s="165"/>
      <c r="K59" s="172">
        <f t="shared" ref="K59:K60" si="32">G59*H59</f>
        <v>0</v>
      </c>
      <c r="L59" s="172">
        <f t="shared" ref="L59:L60" si="33">SUMPRODUCT(R$5:X$5,R59:X59)/Thousands</f>
        <v>0</v>
      </c>
      <c r="M59" s="151"/>
      <c r="N59" s="448"/>
      <c r="O59" s="448"/>
      <c r="P59" s="449"/>
      <c r="Q59" s="314">
        <f>P59-H59*VLOOKUP(C59,Unit_Rates!$C$58:$E$113,3,FALSE)</f>
        <v>0</v>
      </c>
      <c r="R59" s="134">
        <v>0</v>
      </c>
      <c r="S59" s="134">
        <v>0</v>
      </c>
      <c r="T59" s="134">
        <v>0</v>
      </c>
      <c r="U59" s="134">
        <v>0</v>
      </c>
      <c r="V59" s="134">
        <v>0</v>
      </c>
      <c r="W59" s="134">
        <v>0</v>
      </c>
      <c r="X59" s="134">
        <v>0</v>
      </c>
      <c r="Y59" s="304">
        <f t="shared" si="24"/>
        <v>0</v>
      </c>
      <c r="AK59" s="349"/>
    </row>
    <row r="60" spans="2:37" x14ac:dyDescent="0.25">
      <c r="B60" s="84"/>
      <c r="C60" s="23" t="s">
        <v>474</v>
      </c>
      <c r="D60" s="23" t="str">
        <f>INDEX(Unit_Rates!$C$7:$K$113,MATCH($C60,Unit_Rates!$C$7:$C$113,0),5)</f>
        <v>SCADA/Network control</v>
      </c>
      <c r="E60" s="23" t="str">
        <f>INDEX(Unit_Rates!$C$7:$K$113,MATCH($C60,Unit_Rates!$C$7:$C$113,0),6)</f>
        <v>Augmentation</v>
      </c>
      <c r="F60" s="23" t="str">
        <f t="shared" si="29"/>
        <v>SCADA/Network controlAugmentation</v>
      </c>
      <c r="G60" s="170">
        <f>INDEX(Unit_Rates!$C$7:$K$113,MATCH($C60,Unit_Rates!$C$7:$C$113,0),7)</f>
        <v>63.471406996986254</v>
      </c>
      <c r="H60" s="171">
        <v>2</v>
      </c>
      <c r="I60" s="123" t="s">
        <v>294</v>
      </c>
      <c r="J60" s="165"/>
      <c r="K60" s="172">
        <f t="shared" si="32"/>
        <v>126.94281399397251</v>
      </c>
      <c r="L60" s="172">
        <f t="shared" si="33"/>
        <v>0</v>
      </c>
      <c r="M60" s="151"/>
      <c r="N60" s="448"/>
      <c r="O60" s="448"/>
      <c r="P60" s="449"/>
      <c r="Q60" s="314">
        <f>P60-H60*VLOOKUP(C60,Unit_Rates!$C$58:$E$113,3,FALSE)</f>
        <v>0</v>
      </c>
      <c r="R60" s="134">
        <v>0</v>
      </c>
      <c r="S60" s="134">
        <v>0</v>
      </c>
      <c r="T60" s="134">
        <v>0</v>
      </c>
      <c r="U60" s="134">
        <v>0</v>
      </c>
      <c r="V60" s="134">
        <v>0</v>
      </c>
      <c r="W60" s="134">
        <v>0</v>
      </c>
      <c r="X60" s="134">
        <v>0</v>
      </c>
      <c r="Y60" s="304">
        <f t="shared" si="24"/>
        <v>0</v>
      </c>
      <c r="AK60" s="349"/>
    </row>
    <row r="61" spans="2:37" x14ac:dyDescent="0.25">
      <c r="B61" s="84"/>
      <c r="C61" s="23" t="s">
        <v>475</v>
      </c>
      <c r="D61" s="23" t="str">
        <f>INDEX(Unit_Rates!$C$7:$K$113,MATCH($C61,Unit_Rates!$C$7:$C$113,0),5)</f>
        <v>SCADA/Network control</v>
      </c>
      <c r="E61" s="23" t="str">
        <f>INDEX(Unit_Rates!$C$7:$K$113,MATCH($C61,Unit_Rates!$C$7:$C$113,0),6)</f>
        <v>Augmentation</v>
      </c>
      <c r="F61" s="23" t="str">
        <f t="shared" ref="F61" si="34">D61&amp;E61</f>
        <v>SCADA/Network controlAugmentation</v>
      </c>
      <c r="G61" s="170">
        <f>INDEX(Unit_Rates!$C$7:$K$113,MATCH($C61,Unit_Rates!$C$7:$C$113,0),7)</f>
        <v>47.41057649703847</v>
      </c>
      <c r="H61" s="171">
        <v>2</v>
      </c>
      <c r="I61" s="123" t="s">
        <v>294</v>
      </c>
      <c r="J61" s="165"/>
      <c r="K61" s="172">
        <f t="shared" ref="K61" si="35">G61*H61</f>
        <v>94.82115299407694</v>
      </c>
      <c r="L61" s="172">
        <f t="shared" ref="L61" si="36">SUMPRODUCT(R$5:X$5,R61:X61)/Thousands</f>
        <v>0</v>
      </c>
      <c r="M61" s="151"/>
      <c r="N61" s="448"/>
      <c r="O61" s="448"/>
      <c r="P61" s="449"/>
      <c r="Q61" s="314">
        <f>P61-H61*VLOOKUP(C61,Unit_Rates!$C$58:$E$113,3,FALSE)</f>
        <v>0</v>
      </c>
      <c r="R61" s="134">
        <v>0</v>
      </c>
      <c r="S61" s="134">
        <v>0</v>
      </c>
      <c r="T61" s="134">
        <v>0</v>
      </c>
      <c r="U61" s="134">
        <v>0</v>
      </c>
      <c r="V61" s="134">
        <v>0</v>
      </c>
      <c r="W61" s="134">
        <v>0</v>
      </c>
      <c r="X61" s="134">
        <v>0</v>
      </c>
      <c r="Y61" s="304">
        <f t="shared" ref="Y61" si="37">SUM(R61:X61)</f>
        <v>0</v>
      </c>
      <c r="AK61" s="349"/>
    </row>
    <row r="62" spans="2:37" x14ac:dyDescent="0.25">
      <c r="B62" s="84"/>
      <c r="C62" s="23" t="s">
        <v>193</v>
      </c>
      <c r="D62" s="23" t="str">
        <f>INDEX(Unit_Rates!$C$7:$K$113,MATCH($C62,Unit_Rates!$C$7:$C$113,0),5)</f>
        <v>SCADA/Network control</v>
      </c>
      <c r="E62" s="23" t="str">
        <f>INDEX(Unit_Rates!$C$7:$K$113,MATCH($C62,Unit_Rates!$C$7:$C$113,0),6)</f>
        <v>Augmentation</v>
      </c>
      <c r="F62" s="23" t="str">
        <f t="shared" ref="F62:F66" si="38">D62&amp;E62</f>
        <v>SCADA/Network controlAugmentation</v>
      </c>
      <c r="G62" s="170">
        <f>INDEX(Unit_Rates!$C$7:$K$113,MATCH($C62,Unit_Rates!$C$7:$C$113,0),7)</f>
        <v>98.007730202578273</v>
      </c>
      <c r="H62" s="171"/>
      <c r="I62" s="123" t="s">
        <v>294</v>
      </c>
      <c r="J62" s="165"/>
      <c r="K62" s="172">
        <f t="shared" ref="K62:K63" si="39">G62*H62</f>
        <v>0</v>
      </c>
      <c r="L62" s="172">
        <f t="shared" si="26"/>
        <v>0</v>
      </c>
      <c r="M62" s="151"/>
      <c r="N62" s="448"/>
      <c r="O62" s="448"/>
      <c r="P62" s="449"/>
      <c r="Q62" s="314">
        <f>P62-H62*VLOOKUP(C62,Unit_Rates!$C$58:$E$113,3,FALSE)</f>
        <v>0</v>
      </c>
      <c r="R62" s="134">
        <v>0</v>
      </c>
      <c r="S62" s="134">
        <v>0</v>
      </c>
      <c r="T62" s="134">
        <v>0</v>
      </c>
      <c r="U62" s="134">
        <v>0</v>
      </c>
      <c r="V62" s="134">
        <v>0</v>
      </c>
      <c r="W62" s="134">
        <v>0</v>
      </c>
      <c r="X62" s="134">
        <v>0</v>
      </c>
      <c r="Y62" s="304">
        <f t="shared" ref="Y62:Y68" si="40">SUM(R62:X62)</f>
        <v>0</v>
      </c>
      <c r="AK62" s="349"/>
    </row>
    <row r="63" spans="2:37" x14ac:dyDescent="0.25">
      <c r="B63" s="84"/>
      <c r="C63" s="23" t="s">
        <v>297</v>
      </c>
      <c r="D63" t="s">
        <v>2</v>
      </c>
      <c r="E63" t="s">
        <v>27</v>
      </c>
      <c r="F63" t="s">
        <v>31</v>
      </c>
      <c r="G63" s="184">
        <v>0</v>
      </c>
      <c r="H63" s="171"/>
      <c r="I63" s="123" t="s">
        <v>294</v>
      </c>
      <c r="J63" s="165"/>
      <c r="K63" s="172">
        <f t="shared" si="39"/>
        <v>0</v>
      </c>
      <c r="L63" s="172">
        <f t="shared" si="26"/>
        <v>0</v>
      </c>
      <c r="M63" s="151"/>
      <c r="N63" s="448"/>
      <c r="O63" s="448"/>
      <c r="P63" s="449"/>
      <c r="Q63" s="152"/>
      <c r="R63" s="134">
        <v>0</v>
      </c>
      <c r="S63" s="134">
        <v>0</v>
      </c>
      <c r="T63" s="134">
        <v>0</v>
      </c>
      <c r="U63" s="134">
        <v>0</v>
      </c>
      <c r="V63" s="134">
        <v>0</v>
      </c>
      <c r="W63" s="134">
        <v>0</v>
      </c>
      <c r="X63" s="134">
        <v>0</v>
      </c>
      <c r="Y63" s="304">
        <f t="shared" si="40"/>
        <v>0</v>
      </c>
      <c r="AK63" s="349"/>
    </row>
    <row r="64" spans="2:37" x14ac:dyDescent="0.25">
      <c r="B64" s="84"/>
      <c r="C64" s="23" t="s">
        <v>205</v>
      </c>
      <c r="D64" t="s">
        <v>2</v>
      </c>
      <c r="E64" t="s">
        <v>27</v>
      </c>
      <c r="F64" t="s">
        <v>31</v>
      </c>
      <c r="G64" s="170">
        <f>INDEX(Unit_Rates!$C$7:$K$113,MATCH($C64,Unit_Rates!$C$7:$C$113,0),7)</f>
        <v>92.239631675874776</v>
      </c>
      <c r="H64" s="171">
        <v>2</v>
      </c>
      <c r="I64" s="123" t="s">
        <v>294</v>
      </c>
      <c r="J64" s="165"/>
      <c r="K64" s="172">
        <f t="shared" ref="K64" si="41">G64*H64</f>
        <v>184.47926335174955</v>
      </c>
      <c r="L64" s="172">
        <f t="shared" ref="L64" si="42">SUMPRODUCT(R$5:X$5,R64:X64)/Thousands</f>
        <v>0</v>
      </c>
      <c r="M64" s="151"/>
      <c r="N64" s="448"/>
      <c r="O64" s="448"/>
      <c r="P64" s="449"/>
      <c r="Q64" s="314">
        <f>P64-H64*VLOOKUP(C64,Unit_Rates!$C$58:$E$113,3,FALSE)</f>
        <v>0</v>
      </c>
      <c r="R64" s="134">
        <v>0</v>
      </c>
      <c r="S64" s="134">
        <v>0</v>
      </c>
      <c r="T64" s="134">
        <v>0</v>
      </c>
      <c r="U64" s="134">
        <v>0</v>
      </c>
      <c r="V64" s="134">
        <v>0</v>
      </c>
      <c r="W64" s="134">
        <v>0</v>
      </c>
      <c r="X64" s="134">
        <v>0</v>
      </c>
      <c r="Y64" s="304">
        <f t="shared" si="40"/>
        <v>0</v>
      </c>
      <c r="AK64" s="349"/>
    </row>
    <row r="65" spans="2:37" x14ac:dyDescent="0.25">
      <c r="B65" s="84"/>
      <c r="C65" s="23" t="s">
        <v>298</v>
      </c>
      <c r="D65" t="s">
        <v>2</v>
      </c>
      <c r="E65" t="s">
        <v>27</v>
      </c>
      <c r="F65" s="23" t="str">
        <f t="shared" si="38"/>
        <v>SCADA/Network controlAugmentation</v>
      </c>
      <c r="G65" s="184">
        <v>0</v>
      </c>
      <c r="H65" s="171"/>
      <c r="I65" s="123" t="s">
        <v>294</v>
      </c>
      <c r="J65" s="165"/>
      <c r="K65" s="172">
        <f>G65*H65</f>
        <v>0</v>
      </c>
      <c r="L65" s="172">
        <f t="shared" si="26"/>
        <v>0</v>
      </c>
      <c r="M65" s="151"/>
      <c r="N65" s="448"/>
      <c r="O65" s="448"/>
      <c r="P65" s="449"/>
      <c r="Q65" s="152"/>
      <c r="R65" s="134">
        <v>0</v>
      </c>
      <c r="S65" s="134">
        <v>0</v>
      </c>
      <c r="T65" s="134">
        <v>0</v>
      </c>
      <c r="U65" s="134">
        <v>0</v>
      </c>
      <c r="V65" s="134">
        <v>0</v>
      </c>
      <c r="W65" s="134">
        <v>0</v>
      </c>
      <c r="X65" s="134">
        <v>0</v>
      </c>
      <c r="Y65" s="304">
        <f t="shared" si="40"/>
        <v>0</v>
      </c>
      <c r="AK65" s="349"/>
    </row>
    <row r="66" spans="2:37" x14ac:dyDescent="0.25">
      <c r="B66" s="120" t="s">
        <v>299</v>
      </c>
      <c r="C66" s="23"/>
      <c r="D66" t="s">
        <v>3</v>
      </c>
      <c r="E66" t="s">
        <v>27</v>
      </c>
      <c r="F66" s="23" t="str">
        <f t="shared" si="38"/>
        <v>SubtransmissionAugmentation</v>
      </c>
      <c r="G66" s="185">
        <v>22.89822015</v>
      </c>
      <c r="H66" s="171">
        <v>8</v>
      </c>
      <c r="I66" s="123" t="s">
        <v>294</v>
      </c>
      <c r="J66" s="165"/>
      <c r="K66" s="172">
        <f>G66*H66</f>
        <v>183.1857612</v>
      </c>
      <c r="L66" s="172">
        <f t="shared" si="26"/>
        <v>0</v>
      </c>
      <c r="M66" s="151"/>
      <c r="N66" s="448"/>
      <c r="O66" s="448"/>
      <c r="P66" s="449"/>
      <c r="Q66" s="152"/>
      <c r="R66" s="134">
        <v>0</v>
      </c>
      <c r="S66" s="134">
        <v>0</v>
      </c>
      <c r="T66" s="134">
        <v>0</v>
      </c>
      <c r="U66" s="134">
        <v>0</v>
      </c>
      <c r="V66" s="134">
        <v>0</v>
      </c>
      <c r="W66" s="134">
        <v>0</v>
      </c>
      <c r="X66" s="134">
        <v>0</v>
      </c>
      <c r="Y66" s="304">
        <f t="shared" si="40"/>
        <v>0</v>
      </c>
      <c r="AK66" s="349"/>
    </row>
    <row r="67" spans="2:37" x14ac:dyDescent="0.25">
      <c r="B67" s="120" t="s">
        <v>347</v>
      </c>
      <c r="C67" s="23"/>
      <c r="D67" t="s">
        <v>3</v>
      </c>
      <c r="E67" t="s">
        <v>27</v>
      </c>
      <c r="F67" s="23" t="str">
        <f t="shared" ref="F67" si="43">D67&amp;E67</f>
        <v>SubtransmissionAugmentation</v>
      </c>
      <c r="G67" s="185">
        <v>4.5</v>
      </c>
      <c r="H67" s="171"/>
      <c r="I67" s="123" t="s">
        <v>294</v>
      </c>
      <c r="J67" s="165"/>
      <c r="K67" s="172">
        <f>G67*H67</f>
        <v>0</v>
      </c>
      <c r="L67" s="172">
        <f t="shared" ref="L67" si="44">SUMPRODUCT(R$5:X$5,R67:X67)/Thousands</f>
        <v>0</v>
      </c>
      <c r="M67" s="151"/>
      <c r="N67" s="448"/>
      <c r="O67" s="448"/>
      <c r="P67" s="449"/>
      <c r="Q67" s="152"/>
      <c r="R67" s="134">
        <v>0</v>
      </c>
      <c r="S67" s="134">
        <v>0</v>
      </c>
      <c r="T67" s="134">
        <v>0</v>
      </c>
      <c r="U67" s="134">
        <v>0</v>
      </c>
      <c r="V67" s="134">
        <v>0</v>
      </c>
      <c r="W67" s="134">
        <v>0</v>
      </c>
      <c r="X67" s="134">
        <v>0</v>
      </c>
      <c r="Y67" s="304">
        <f t="shared" si="40"/>
        <v>0</v>
      </c>
      <c r="AK67" s="349"/>
    </row>
    <row r="68" spans="2:37" x14ac:dyDescent="0.25">
      <c r="B68" s="120" t="s">
        <v>346</v>
      </c>
      <c r="C68" s="23"/>
      <c r="D68" t="s">
        <v>3</v>
      </c>
      <c r="E68" t="s">
        <v>27</v>
      </c>
      <c r="F68" s="23" t="str">
        <f t="shared" ref="F68" si="45">D68&amp;E68</f>
        <v>SubtransmissionAugmentation</v>
      </c>
      <c r="G68" s="185">
        <v>15.046249808383235</v>
      </c>
      <c r="H68" s="171"/>
      <c r="I68" s="123" t="s">
        <v>294</v>
      </c>
      <c r="J68" s="165"/>
      <c r="K68" s="172">
        <f>G68*H68</f>
        <v>0</v>
      </c>
      <c r="L68" s="172">
        <f t="shared" ref="L68" si="46">SUMPRODUCT(R$5:X$5,R68:X68)/Thousands</f>
        <v>0</v>
      </c>
      <c r="M68" s="151"/>
      <c r="N68" s="448"/>
      <c r="O68" s="448"/>
      <c r="P68" s="449"/>
      <c r="Q68" s="152"/>
      <c r="R68" s="134">
        <v>0</v>
      </c>
      <c r="S68" s="134">
        <v>0</v>
      </c>
      <c r="T68" s="134">
        <v>0</v>
      </c>
      <c r="U68" s="134">
        <v>0</v>
      </c>
      <c r="V68" s="134">
        <v>0</v>
      </c>
      <c r="W68" s="134">
        <v>0</v>
      </c>
      <c r="X68" s="134">
        <v>0</v>
      </c>
      <c r="Y68" s="304">
        <f t="shared" si="40"/>
        <v>0</v>
      </c>
      <c r="AK68" s="349"/>
    </row>
    <row r="69" spans="2:37" x14ac:dyDescent="0.25">
      <c r="B69" s="120" t="s">
        <v>300</v>
      </c>
      <c r="C69" s="23"/>
      <c r="G69" s="169"/>
      <c r="H69" s="186"/>
      <c r="I69" s="167"/>
      <c r="K69" s="149"/>
      <c r="L69" s="149"/>
      <c r="M69" s="168"/>
      <c r="N69" s="125"/>
      <c r="O69" s="168"/>
      <c r="P69" s="126"/>
      <c r="Q69" s="152"/>
      <c r="R69" s="134">
        <v>0</v>
      </c>
      <c r="S69" s="134">
        <v>0</v>
      </c>
      <c r="T69" s="134">
        <v>0</v>
      </c>
      <c r="U69" s="134">
        <v>0</v>
      </c>
      <c r="V69" s="134">
        <v>0</v>
      </c>
      <c r="W69" s="134">
        <v>0</v>
      </c>
      <c r="X69" s="134">
        <v>0</v>
      </c>
      <c r="Y69" s="304">
        <f t="shared" ref="Y69:Y75" si="47">SUM(R69:X69)</f>
        <v>0</v>
      </c>
      <c r="AK69" s="349"/>
    </row>
    <row r="70" spans="2:37" x14ac:dyDescent="0.25">
      <c r="B70" s="84"/>
      <c r="C70" s="23" t="s">
        <v>345</v>
      </c>
      <c r="D70" t="s">
        <v>3</v>
      </c>
      <c r="E70" t="s">
        <v>27</v>
      </c>
      <c r="F70" s="23" t="str">
        <f t="shared" ref="F70:F75" si="48">D70&amp;E70</f>
        <v>SubtransmissionAugmentation</v>
      </c>
      <c r="G70" s="185">
        <v>0</v>
      </c>
      <c r="H70" s="171"/>
      <c r="I70" s="123" t="s">
        <v>294</v>
      </c>
      <c r="K70" s="172">
        <f>G70*H70</f>
        <v>0</v>
      </c>
      <c r="L70" s="172">
        <f t="shared" ref="L70:L75" si="49">SUMPRODUCT(R$5:X$5,R70:X70)/Thousands</f>
        <v>0</v>
      </c>
      <c r="M70" s="151"/>
      <c r="N70" s="448"/>
      <c r="O70" s="448"/>
      <c r="P70" s="449"/>
      <c r="Q70" s="152"/>
      <c r="R70" s="134">
        <v>0</v>
      </c>
      <c r="S70" s="134">
        <v>0</v>
      </c>
      <c r="T70" s="134">
        <v>0</v>
      </c>
      <c r="U70" s="134">
        <v>0</v>
      </c>
      <c r="V70" s="134">
        <v>0</v>
      </c>
      <c r="W70" s="134">
        <v>0</v>
      </c>
      <c r="X70" s="134">
        <v>0</v>
      </c>
      <c r="Y70" s="304">
        <f t="shared" si="47"/>
        <v>0</v>
      </c>
      <c r="AK70" s="349"/>
    </row>
    <row r="71" spans="2:37" x14ac:dyDescent="0.25">
      <c r="B71" s="84"/>
      <c r="C71" s="23" t="s">
        <v>344</v>
      </c>
      <c r="D71" t="s">
        <v>3</v>
      </c>
      <c r="E71" t="s">
        <v>27</v>
      </c>
      <c r="F71" s="23" t="str">
        <f t="shared" ref="F71" si="50">D71&amp;E71</f>
        <v>SubtransmissionAugmentation</v>
      </c>
      <c r="G71" s="185">
        <v>0</v>
      </c>
      <c r="H71" s="171"/>
      <c r="I71" s="123" t="s">
        <v>294</v>
      </c>
      <c r="K71" s="172">
        <f>G71*H71</f>
        <v>0</v>
      </c>
      <c r="L71" s="172">
        <f t="shared" si="49"/>
        <v>0</v>
      </c>
      <c r="M71" s="151"/>
      <c r="N71" s="448"/>
      <c r="O71" s="448"/>
      <c r="P71" s="449"/>
      <c r="Q71" s="152"/>
      <c r="R71" s="134">
        <v>0</v>
      </c>
      <c r="S71" s="134">
        <v>0</v>
      </c>
      <c r="T71" s="134">
        <v>0</v>
      </c>
      <c r="U71" s="134">
        <v>0</v>
      </c>
      <c r="V71" s="134">
        <v>0</v>
      </c>
      <c r="W71" s="134">
        <v>0</v>
      </c>
      <c r="X71" s="134">
        <v>0</v>
      </c>
      <c r="Y71" s="304">
        <f t="shared" ref="Y71" si="51">SUM(R71:X71)</f>
        <v>0</v>
      </c>
      <c r="AK71" s="349"/>
    </row>
    <row r="72" spans="2:37" x14ac:dyDescent="0.25">
      <c r="B72" s="84"/>
      <c r="C72" s="23" t="s">
        <v>302</v>
      </c>
      <c r="D72" s="23" t="str">
        <f>Unit_Rates!G50</f>
        <v>Subtransmission</v>
      </c>
      <c r="E72" s="23" t="str">
        <f>Unit_Rates!H50</f>
        <v>Augmentation</v>
      </c>
      <c r="F72" s="23" t="str">
        <f t="shared" si="48"/>
        <v>SubtransmissionAugmentation</v>
      </c>
      <c r="G72" s="170">
        <f>Unit_Rates!$I$50</f>
        <v>131.39534883720927</v>
      </c>
      <c r="H72" s="171"/>
      <c r="I72" s="123" t="s">
        <v>294</v>
      </c>
      <c r="K72" s="172">
        <f>G72*H72</f>
        <v>0</v>
      </c>
      <c r="L72" s="172">
        <f t="shared" si="49"/>
        <v>0</v>
      </c>
      <c r="M72" s="151"/>
      <c r="N72" s="448"/>
      <c r="O72" s="448"/>
      <c r="P72" s="449"/>
      <c r="Q72" s="314">
        <f>P72-H72*VLOOKUP("Oil separator",Unit_Rates!$C$7:$E$51,3,FALSE)</f>
        <v>0</v>
      </c>
      <c r="R72" s="134">
        <v>0</v>
      </c>
      <c r="S72" s="134">
        <v>0</v>
      </c>
      <c r="T72" s="134">
        <v>0</v>
      </c>
      <c r="U72" s="134">
        <v>0</v>
      </c>
      <c r="V72" s="134">
        <v>0</v>
      </c>
      <c r="W72" s="134">
        <v>0</v>
      </c>
      <c r="X72" s="134">
        <v>0</v>
      </c>
      <c r="Y72" s="304">
        <f t="shared" si="47"/>
        <v>0</v>
      </c>
      <c r="AK72" s="349"/>
    </row>
    <row r="73" spans="2:37" x14ac:dyDescent="0.25">
      <c r="B73" s="84"/>
      <c r="C73" s="326" t="s">
        <v>303</v>
      </c>
      <c r="D73" t="s">
        <v>3</v>
      </c>
      <c r="E73" t="s">
        <v>27</v>
      </c>
      <c r="F73" s="23" t="str">
        <f t="shared" si="48"/>
        <v>SubtransmissionAugmentation</v>
      </c>
      <c r="G73" s="185">
        <v>0</v>
      </c>
      <c r="H73" s="171"/>
      <c r="I73" s="123" t="s">
        <v>294</v>
      </c>
      <c r="K73" s="172">
        <f>G73*H73</f>
        <v>0</v>
      </c>
      <c r="L73" s="172">
        <f t="shared" si="49"/>
        <v>0</v>
      </c>
      <c r="M73" s="151"/>
      <c r="N73" s="448"/>
      <c r="O73" s="448"/>
      <c r="P73" s="449"/>
      <c r="Q73" s="152"/>
      <c r="R73" s="134">
        <v>0</v>
      </c>
      <c r="S73" s="134">
        <v>0</v>
      </c>
      <c r="T73" s="134">
        <v>0</v>
      </c>
      <c r="U73" s="134">
        <v>0</v>
      </c>
      <c r="V73" s="134">
        <v>0</v>
      </c>
      <c r="W73" s="134">
        <v>0</v>
      </c>
      <c r="X73" s="134">
        <v>0</v>
      </c>
      <c r="Y73" s="304">
        <f t="shared" si="47"/>
        <v>0</v>
      </c>
      <c r="AK73" s="349"/>
    </row>
    <row r="74" spans="2:37" x14ac:dyDescent="0.25">
      <c r="B74" s="120" t="s">
        <v>304</v>
      </c>
      <c r="C74" s="326"/>
      <c r="D74" t="s">
        <v>3</v>
      </c>
      <c r="E74" t="s">
        <v>27</v>
      </c>
      <c r="F74" s="23" t="str">
        <f t="shared" si="48"/>
        <v>SubtransmissionAugmentation</v>
      </c>
      <c r="G74" s="170">
        <v>0</v>
      </c>
      <c r="H74" s="171"/>
      <c r="I74" s="123" t="s">
        <v>294</v>
      </c>
      <c r="K74" s="172">
        <f>G74*H74</f>
        <v>0</v>
      </c>
      <c r="L74" s="212">
        <f t="shared" si="49"/>
        <v>0</v>
      </c>
      <c r="M74" s="188"/>
      <c r="N74" s="448"/>
      <c r="O74" s="448"/>
      <c r="P74" s="449"/>
      <c r="Q74" s="152"/>
      <c r="R74" s="189"/>
      <c r="S74" s="189"/>
      <c r="T74" s="189"/>
      <c r="U74" s="189"/>
      <c r="V74" s="189"/>
      <c r="W74" s="189"/>
      <c r="X74" s="189"/>
      <c r="Y74" s="77"/>
      <c r="AK74" s="349"/>
    </row>
    <row r="75" spans="2:37" x14ac:dyDescent="0.25">
      <c r="B75" s="120" t="s">
        <v>305</v>
      </c>
      <c r="C75" s="23"/>
      <c r="D75" t="s">
        <v>4</v>
      </c>
      <c r="E75" t="s">
        <v>29</v>
      </c>
      <c r="F75" s="23" t="str">
        <f t="shared" si="48"/>
        <v>LandNon-Network</v>
      </c>
      <c r="G75" s="170">
        <v>0</v>
      </c>
      <c r="H75" s="171"/>
      <c r="I75" s="123" t="s">
        <v>294</v>
      </c>
      <c r="K75" s="212">
        <v>0</v>
      </c>
      <c r="L75" s="212">
        <f t="shared" si="49"/>
        <v>0</v>
      </c>
      <c r="M75" s="188"/>
      <c r="N75" s="448"/>
      <c r="O75" s="448"/>
      <c r="P75" s="449"/>
      <c r="Q75" s="152"/>
      <c r="R75" s="134">
        <v>0</v>
      </c>
      <c r="S75" s="134">
        <v>0</v>
      </c>
      <c r="T75" s="134">
        <v>0</v>
      </c>
      <c r="U75" s="134">
        <v>0</v>
      </c>
      <c r="V75" s="134">
        <v>0</v>
      </c>
      <c r="W75" s="134">
        <v>0</v>
      </c>
      <c r="X75" s="134">
        <v>0</v>
      </c>
      <c r="Y75" s="304">
        <f t="shared" si="47"/>
        <v>0</v>
      </c>
      <c r="AK75" s="349"/>
    </row>
    <row r="76" spans="2:37" x14ac:dyDescent="0.25">
      <c r="B76" s="84"/>
      <c r="C76" s="23"/>
      <c r="G76" s="169"/>
      <c r="H76" s="84"/>
      <c r="I76" s="167"/>
      <c r="K76" s="191"/>
      <c r="L76" s="191"/>
      <c r="M76" s="192"/>
      <c r="N76" s="192"/>
      <c r="O76" s="192"/>
      <c r="P76" s="192"/>
      <c r="X76" s="108"/>
      <c r="AK76" s="349"/>
    </row>
    <row r="77" spans="2:37" x14ac:dyDescent="0.25">
      <c r="B77" s="120" t="s">
        <v>440</v>
      </c>
      <c r="C77" s="23"/>
      <c r="G77" s="169"/>
      <c r="H77" s="84"/>
      <c r="I77" s="167"/>
      <c r="K77" s="343">
        <v>5683.2468690248243</v>
      </c>
      <c r="L77" s="343">
        <v>940.20976823386559</v>
      </c>
      <c r="M77" s="344">
        <v>1250</v>
      </c>
      <c r="N77" s="344">
        <v>4219.2766374949833</v>
      </c>
      <c r="O77" s="344">
        <v>195.46576190833622</v>
      </c>
      <c r="P77" s="344">
        <v>12288.199036662007</v>
      </c>
      <c r="Q77" s="406"/>
      <c r="X77" s="108"/>
      <c r="AK77" s="349"/>
    </row>
    <row r="78" spans="2:37" x14ac:dyDescent="0.25">
      <c r="B78" s="195" t="s">
        <v>307</v>
      </c>
      <c r="C78" s="327"/>
      <c r="D78" s="102"/>
      <c r="E78" s="102"/>
      <c r="F78" s="102"/>
      <c r="G78" s="196"/>
      <c r="H78" s="195"/>
      <c r="I78" s="196"/>
      <c r="J78" s="102"/>
      <c r="K78" s="197">
        <v>0</v>
      </c>
      <c r="L78" s="198">
        <v>0</v>
      </c>
      <c r="M78" s="198">
        <v>0</v>
      </c>
      <c r="N78" s="198">
        <v>0</v>
      </c>
      <c r="O78" s="198">
        <v>0</v>
      </c>
      <c r="P78" s="199">
        <v>0</v>
      </c>
      <c r="X78" s="108"/>
      <c r="AK78" s="349"/>
    </row>
    <row r="79" spans="2:37" ht="30" x14ac:dyDescent="0.25">
      <c r="B79" s="143" t="s">
        <v>308</v>
      </c>
      <c r="C79" s="324"/>
      <c r="D79" s="117"/>
      <c r="E79" s="117"/>
      <c r="F79" s="117"/>
      <c r="G79" s="200" t="s">
        <v>309</v>
      </c>
      <c r="H79" s="290" t="s">
        <v>279</v>
      </c>
      <c r="I79" s="67" t="s">
        <v>280</v>
      </c>
      <c r="J79" s="102"/>
      <c r="K79" s="67" t="s">
        <v>21</v>
      </c>
      <c r="L79" s="67" t="s">
        <v>22</v>
      </c>
      <c r="M79" s="202" t="s">
        <v>23</v>
      </c>
      <c r="N79" s="202" t="s">
        <v>24</v>
      </c>
      <c r="O79" s="68" t="s">
        <v>25</v>
      </c>
      <c r="P79" s="68" t="s">
        <v>26</v>
      </c>
      <c r="X79" s="108"/>
      <c r="AK79" s="349"/>
    </row>
    <row r="80" spans="2:37" x14ac:dyDescent="0.25">
      <c r="B80" s="120"/>
      <c r="C80" s="305"/>
      <c r="G80" s="167"/>
      <c r="H80" s="84"/>
      <c r="I80" s="167"/>
      <c r="K80" s="203"/>
      <c r="L80" s="203"/>
      <c r="M80" s="204"/>
      <c r="N80" s="204"/>
      <c r="O80" s="204"/>
      <c r="P80" s="169"/>
      <c r="X80" s="108"/>
      <c r="AK80" s="349"/>
    </row>
    <row r="81" spans="1:37" x14ac:dyDescent="0.25">
      <c r="B81" s="312" t="s">
        <v>444</v>
      </c>
      <c r="C81" s="23"/>
      <c r="G81" s="167"/>
      <c r="H81" s="84"/>
      <c r="I81" s="167"/>
      <c r="K81" s="203"/>
      <c r="L81" s="203"/>
      <c r="M81" s="204"/>
      <c r="N81" s="204"/>
      <c r="O81" s="204"/>
      <c r="P81" s="169"/>
      <c r="X81" s="108"/>
      <c r="Y81" s="77"/>
      <c r="AK81" s="349"/>
    </row>
    <row r="82" spans="1:37" x14ac:dyDescent="0.25">
      <c r="B82" s="333" t="s">
        <v>446</v>
      </c>
      <c r="C82" s="23"/>
      <c r="G82" s="167"/>
      <c r="H82" s="84"/>
      <c r="I82" s="167"/>
      <c r="K82" s="445"/>
      <c r="L82" s="445"/>
      <c r="M82" s="441"/>
      <c r="N82" s="204"/>
      <c r="O82" s="204"/>
      <c r="P82" s="169"/>
      <c r="X82" s="108"/>
      <c r="Y82" s="77"/>
      <c r="AK82" s="349"/>
    </row>
    <row r="83" spans="1:37" x14ac:dyDescent="0.25">
      <c r="B83" s="315"/>
      <c r="C83" s="305" t="s">
        <v>445</v>
      </c>
      <c r="D83" s="23" t="str">
        <f>INDEX(Unit_Rates!$C$7:$K$113,MATCH($C83,Unit_Rates!$C$7:$C$113,0),5)</f>
        <v>Distribution system assets</v>
      </c>
      <c r="E83" s="23" t="str">
        <f>INDEX(Unit_Rates!$C$7:$K$113,MATCH($C83,Unit_Rates!$C$7:$C$113,0),6)</f>
        <v>Augmentation</v>
      </c>
      <c r="F83" s="23" t="str">
        <f t="shared" ref="F83:F85" si="52">D83&amp;E83</f>
        <v>Distribution system assetsAugmentation</v>
      </c>
      <c r="G83" s="170">
        <f>INDEX(Unit_Rates!$C$7:$K$113,MATCH($C83,Unit_Rates!$C$7:$C$113,0),7)</f>
        <v>6.4197386759582073E-2</v>
      </c>
      <c r="H83" s="350">
        <v>400</v>
      </c>
      <c r="I83" s="123" t="s">
        <v>295</v>
      </c>
      <c r="J83" s="108"/>
      <c r="K83" s="170">
        <f>G83*H83</f>
        <v>25.678954703832829</v>
      </c>
      <c r="L83" s="170">
        <f t="shared" ref="L83:L85" si="53">SUMPRODUCT(R$5:X$5,R83:X83)/Thousands</f>
        <v>0</v>
      </c>
      <c r="M83" s="170"/>
      <c r="N83" s="446"/>
      <c r="O83" s="446"/>
      <c r="P83" s="446"/>
      <c r="Q83" s="314">
        <f>P83-H83*VLOOKUP(C83,Unit_Rates!$C$7:$E$113,3,FALSE)</f>
        <v>0</v>
      </c>
      <c r="R83" s="134">
        <v>0</v>
      </c>
      <c r="S83" s="134">
        <v>0</v>
      </c>
      <c r="T83" s="134">
        <v>0</v>
      </c>
      <c r="U83" s="134">
        <v>0</v>
      </c>
      <c r="V83" s="134">
        <v>0</v>
      </c>
      <c r="W83" s="134">
        <v>0</v>
      </c>
      <c r="X83" s="134">
        <v>0</v>
      </c>
      <c r="Y83" s="304">
        <f t="shared" ref="Y83:Y85" si="54">SUM(R83:X83)</f>
        <v>0</v>
      </c>
      <c r="Z83" s="6"/>
      <c r="AA83" s="6"/>
      <c r="AB83" s="6"/>
      <c r="AC83" s="6"/>
      <c r="AD83" s="6"/>
      <c r="AE83" s="6"/>
      <c r="AF83" s="6"/>
      <c r="AG83" s="8"/>
      <c r="AI83" s="96"/>
      <c r="AK83" s="349"/>
    </row>
    <row r="84" spans="1:37" x14ac:dyDescent="0.25">
      <c r="B84" s="315"/>
      <c r="C84" s="23" t="s">
        <v>229</v>
      </c>
      <c r="D84" s="23" t="str">
        <f>Unit_Rates!G$129</f>
        <v>Distribution system assets</v>
      </c>
      <c r="E84" s="23" t="str">
        <f>Unit_Rates!H$129</f>
        <v>Augmentation</v>
      </c>
      <c r="F84" s="23" t="str">
        <f t="shared" si="52"/>
        <v>Distribution system assetsAugmentation</v>
      </c>
      <c r="G84" s="170">
        <f>Unit_Rates!I$129</f>
        <v>22.603922249219018</v>
      </c>
      <c r="H84" s="350">
        <v>2</v>
      </c>
      <c r="I84" s="308" t="s">
        <v>294</v>
      </c>
      <c r="J84" s="108"/>
      <c r="K84" s="170">
        <f t="shared" ref="K84" si="55">G84*H84</f>
        <v>45.207844498438035</v>
      </c>
      <c r="L84" s="170">
        <f t="shared" si="53"/>
        <v>40.701653192416131</v>
      </c>
      <c r="M84" s="170">
        <f>$H84*Unit_Rates!K$129</f>
        <v>9.5716009272774425</v>
      </c>
      <c r="N84" s="446"/>
      <c r="O84" s="446"/>
      <c r="P84" s="446"/>
      <c r="Q84" s="314">
        <f>P84-H84*VLOOKUP(C84,Unit_Rates!$C$7:$E$132,3,FALSE)</f>
        <v>-160.73764279011951</v>
      </c>
      <c r="R84" s="134">
        <f>$H84*Z84*Unit_Rates!$J$129*1000/R$5</f>
        <v>75.936199636632367</v>
      </c>
      <c r="S84" s="134">
        <f>$H84*AA84*Unit_Rates!$J$129*1000/S$5</f>
        <v>87.008031958180652</v>
      </c>
      <c r="T84" s="134">
        <f>$H84*AB84*Unit_Rates!$J$129*1000/T$5</f>
        <v>85.922495569256441</v>
      </c>
      <c r="U84" s="134">
        <v>0</v>
      </c>
      <c r="V84" s="134">
        <v>0</v>
      </c>
      <c r="W84" s="134">
        <v>0</v>
      </c>
      <c r="X84" s="134">
        <v>0</v>
      </c>
      <c r="Y84" s="304">
        <f t="shared" si="54"/>
        <v>248.86672716406946</v>
      </c>
      <c r="Z84" s="6">
        <v>0.30314923274650007</v>
      </c>
      <c r="AA84" s="6">
        <v>0.32449777026385923</v>
      </c>
      <c r="AB84" s="407">
        <v>0.37235299698964058</v>
      </c>
      <c r="AC84" s="6"/>
      <c r="AD84" s="6"/>
      <c r="AE84" s="6"/>
      <c r="AF84" s="6"/>
      <c r="AG84" s="8"/>
      <c r="AI84" s="96"/>
      <c r="AK84" s="349"/>
    </row>
    <row r="85" spans="1:37" x14ac:dyDescent="0.25">
      <c r="A85" s="23"/>
      <c r="B85" s="315"/>
      <c r="C85" s="328" t="s">
        <v>477</v>
      </c>
      <c r="D85" s="23" t="str">
        <f>INDEX(Unit_Rates!$C$7:$K$113,MATCH($C85,Unit_Rates!$C$7:$C$113,0),5)</f>
        <v>Distribution system assets</v>
      </c>
      <c r="E85" s="23" t="str">
        <f>INDEX(Unit_Rates!$C$7:$K$113,MATCH($C85,Unit_Rates!$C$7:$C$113,0),6)</f>
        <v>Replacement</v>
      </c>
      <c r="F85" s="23" t="str">
        <f t="shared" si="52"/>
        <v>Distribution system assetsReplacement</v>
      </c>
      <c r="G85" s="170">
        <f>INDEX(Unit_Rates!$C$7:$K$113,MATCH($C85,Unit_Rates!$C$7:$C$113,0),7)</f>
        <v>6.06</v>
      </c>
      <c r="H85" s="350">
        <v>2</v>
      </c>
      <c r="I85" s="308" t="s">
        <v>294</v>
      </c>
      <c r="J85" s="108"/>
      <c r="K85" s="211">
        <f t="shared" ref="K85" si="56">G85*H85</f>
        <v>12.12</v>
      </c>
      <c r="L85" s="211">
        <f t="shared" si="53"/>
        <v>0</v>
      </c>
      <c r="M85" s="211"/>
      <c r="N85" s="447"/>
      <c r="O85" s="447"/>
      <c r="P85" s="447"/>
      <c r="Q85" s="314">
        <f>P85-H85*VLOOKUP(C85,Unit_Rates!$C$7:$E$113,3,FALSE)</f>
        <v>0</v>
      </c>
      <c r="R85" s="134">
        <v>0</v>
      </c>
      <c r="S85" s="134">
        <v>0</v>
      </c>
      <c r="T85" s="134">
        <v>0</v>
      </c>
      <c r="U85" s="134">
        <v>0</v>
      </c>
      <c r="V85" s="134">
        <v>0</v>
      </c>
      <c r="W85" s="134">
        <v>0</v>
      </c>
      <c r="X85" s="134">
        <v>0</v>
      </c>
      <c r="Y85" s="304">
        <f t="shared" si="54"/>
        <v>0</v>
      </c>
      <c r="Z85" s="6"/>
      <c r="AA85" s="6"/>
      <c r="AB85" s="6"/>
      <c r="AC85" s="6"/>
      <c r="AD85" s="6"/>
      <c r="AE85" s="6"/>
      <c r="AF85" s="6"/>
      <c r="AG85" s="8"/>
      <c r="AI85" s="96"/>
      <c r="AK85" s="349"/>
    </row>
    <row r="86" spans="1:37" x14ac:dyDescent="0.25">
      <c r="A86" s="23"/>
      <c r="B86" s="120"/>
      <c r="C86" s="23" t="s">
        <v>450</v>
      </c>
      <c r="G86" s="212"/>
      <c r="H86" s="122"/>
      <c r="I86" s="167"/>
      <c r="K86" s="212">
        <v>83.006799202270869</v>
      </c>
      <c r="L86" s="212">
        <v>40.701653192416131</v>
      </c>
      <c r="M86" s="170">
        <v>9.5716009272774425</v>
      </c>
      <c r="N86" s="170">
        <v>327.40546181526634</v>
      </c>
      <c r="O86" s="170">
        <v>13.846424852481773</v>
      </c>
      <c r="P86" s="170">
        <v>474.53193998971261</v>
      </c>
      <c r="Q86" s="163"/>
      <c r="R86" s="127"/>
      <c r="S86" s="127"/>
      <c r="T86" s="127"/>
      <c r="U86" s="127"/>
      <c r="V86" s="127"/>
      <c r="W86" s="127"/>
      <c r="X86" s="127"/>
      <c r="AI86" s="97"/>
      <c r="AK86" s="349"/>
    </row>
    <row r="87" spans="1:37" x14ac:dyDescent="0.25">
      <c r="A87" s="23"/>
      <c r="B87" s="120"/>
      <c r="C87" s="23"/>
      <c r="G87" s="166"/>
      <c r="H87" s="122"/>
      <c r="I87" s="167"/>
      <c r="K87" s="212"/>
      <c r="L87" s="212"/>
      <c r="M87" s="170"/>
      <c r="N87" s="170"/>
      <c r="O87" s="170"/>
      <c r="P87" s="206"/>
      <c r="R87" s="127"/>
      <c r="S87" s="127"/>
      <c r="T87" s="127"/>
      <c r="U87" s="127"/>
      <c r="V87" s="127"/>
      <c r="W87" s="127"/>
      <c r="X87" s="127"/>
      <c r="AI87" s="97"/>
      <c r="AK87" s="349"/>
    </row>
    <row r="88" spans="1:37" x14ac:dyDescent="0.25">
      <c r="B88" s="312" t="s">
        <v>448</v>
      </c>
      <c r="C88" s="23"/>
      <c r="G88" s="166"/>
      <c r="H88" s="122"/>
      <c r="I88" s="167"/>
      <c r="K88" s="212"/>
      <c r="L88" s="212"/>
      <c r="M88" s="170"/>
      <c r="N88" s="170"/>
      <c r="O88" s="170"/>
      <c r="P88" s="206"/>
      <c r="R88" s="127"/>
      <c r="S88" s="127"/>
      <c r="T88" s="127"/>
      <c r="U88" s="127"/>
      <c r="V88" s="127"/>
      <c r="W88" s="127"/>
      <c r="X88" s="127"/>
      <c r="Y88" s="77"/>
      <c r="Z88" s="6"/>
      <c r="AA88" s="6"/>
      <c r="AB88" s="6"/>
      <c r="AC88" s="6"/>
      <c r="AD88" s="6"/>
      <c r="AE88" s="6"/>
      <c r="AF88" s="6"/>
      <c r="AG88" s="8"/>
      <c r="AI88" s="97"/>
      <c r="AK88" s="349"/>
    </row>
    <row r="89" spans="1:37" x14ac:dyDescent="0.25">
      <c r="B89" s="335" t="s">
        <v>449</v>
      </c>
      <c r="C89" s="23"/>
      <c r="G89" s="170"/>
      <c r="H89" s="306"/>
      <c r="I89" s="123"/>
      <c r="K89" s="212"/>
      <c r="L89" s="212"/>
      <c r="M89" s="170"/>
      <c r="N89" s="170"/>
      <c r="O89" s="170"/>
      <c r="P89" s="170"/>
      <c r="Q89" s="163"/>
      <c r="R89" s="189"/>
      <c r="S89" s="189"/>
      <c r="T89" s="189"/>
      <c r="U89" s="189"/>
      <c r="V89" s="189"/>
      <c r="W89" s="189"/>
      <c r="X89" s="189"/>
      <c r="Y89" s="77"/>
      <c r="Z89" s="6"/>
      <c r="AA89" s="6"/>
      <c r="AB89" s="6"/>
      <c r="AC89" s="6"/>
      <c r="AD89" s="6"/>
      <c r="AE89" s="6"/>
      <c r="AF89" s="6"/>
      <c r="AG89" s="8"/>
      <c r="AI89" s="97"/>
      <c r="AK89" s="349"/>
    </row>
    <row r="90" spans="1:37" x14ac:dyDescent="0.25">
      <c r="B90" s="120"/>
      <c r="C90" s="328" t="s">
        <v>477</v>
      </c>
      <c r="D90" s="23" t="str">
        <f>INDEX(Unit_Rates!$C$7:$K$113,MATCH($C90,Unit_Rates!$C$7:$C$113,0),5)</f>
        <v>Distribution system assets</v>
      </c>
      <c r="E90" s="23" t="str">
        <f>INDEX(Unit_Rates!$C$7:$K$113,MATCH($C90,Unit_Rates!$C$7:$C$113,0),6)</f>
        <v>Replacement</v>
      </c>
      <c r="F90" s="23" t="str">
        <f t="shared" ref="F90:F93" si="57">D90&amp;E90</f>
        <v>Distribution system assetsReplacement</v>
      </c>
      <c r="G90" s="170">
        <f>INDEX(Unit_Rates!$C$7:$K$113,MATCH($C90,Unit_Rates!$C$7:$C$113,0),7)</f>
        <v>6.06</v>
      </c>
      <c r="H90" s="350">
        <v>2</v>
      </c>
      <c r="I90" s="308" t="s">
        <v>294</v>
      </c>
      <c r="J90" s="108"/>
      <c r="K90" s="170">
        <f t="shared" ref="K90:K93" si="58">G90*H90</f>
        <v>12.12</v>
      </c>
      <c r="L90" s="170">
        <f t="shared" ref="L90:L93" si="59">SUMPRODUCT(R$5:X$5,R90:X90)/Thousands</f>
        <v>0</v>
      </c>
      <c r="M90" s="170"/>
      <c r="N90" s="446"/>
      <c r="O90" s="446"/>
      <c r="P90" s="446"/>
      <c r="Q90" s="314">
        <f>P90-H90*VLOOKUP(C90,Unit_Rates!$C$7:$E$113,3,FALSE)</f>
        <v>0</v>
      </c>
      <c r="R90" s="134">
        <v>0</v>
      </c>
      <c r="S90" s="134">
        <v>0</v>
      </c>
      <c r="T90" s="134">
        <v>0</v>
      </c>
      <c r="U90" s="134">
        <v>0</v>
      </c>
      <c r="V90" s="134">
        <v>0</v>
      </c>
      <c r="W90" s="134">
        <v>0</v>
      </c>
      <c r="X90" s="134">
        <v>0</v>
      </c>
      <c r="Y90" s="304">
        <f t="shared" ref="Y90:Y93" si="60">SUM(R90:X90)</f>
        <v>0</v>
      </c>
      <c r="Z90" s="6"/>
      <c r="AA90" s="6"/>
      <c r="AB90" s="6"/>
      <c r="AC90" s="6"/>
      <c r="AD90" s="6"/>
      <c r="AE90" s="6"/>
      <c r="AF90" s="6"/>
      <c r="AG90" s="8"/>
      <c r="AI90" s="97"/>
      <c r="AK90" s="349"/>
    </row>
    <row r="91" spans="1:37" x14ac:dyDescent="0.25">
      <c r="B91" s="120"/>
      <c r="C91" s="328" t="s">
        <v>386</v>
      </c>
      <c r="D91" s="23" t="str">
        <f>INDEX(Unit_Rates!$C$7:$K$113,MATCH($C91,Unit_Rates!$C$7:$C$113,0),5)</f>
        <v>Distribution system assets</v>
      </c>
      <c r="E91" s="23" t="str">
        <f>INDEX(Unit_Rates!$C$7:$K$113,MATCH($C91,Unit_Rates!$C$7:$C$113,0),6)</f>
        <v>Augmentation</v>
      </c>
      <c r="F91" s="23" t="str">
        <f t="shared" ref="F91" si="61">D91&amp;E91</f>
        <v>Distribution system assetsAugmentation</v>
      </c>
      <c r="G91" s="170">
        <f>INDEX(Unit_Rates!$C$7:$K$113,MATCH($C91,Unit_Rates!$C$7:$C$113,0),7)</f>
        <v>6.06</v>
      </c>
      <c r="H91" s="350">
        <v>1</v>
      </c>
      <c r="I91" s="308" t="s">
        <v>294</v>
      </c>
      <c r="J91" s="108"/>
      <c r="K91" s="170">
        <f t="shared" ref="K91" si="62">G91*H91</f>
        <v>6.06</v>
      </c>
      <c r="L91" s="170">
        <f t="shared" ref="L91" si="63">SUMPRODUCT(R$5:X$5,R91:X91)/Thousands</f>
        <v>0</v>
      </c>
      <c r="M91" s="170"/>
      <c r="N91" s="446"/>
      <c r="O91" s="446"/>
      <c r="P91" s="446"/>
      <c r="Q91" s="314">
        <f>P91-H91*VLOOKUP(C91,Unit_Rates!$C$7:$E$113,3,FALSE)</f>
        <v>0</v>
      </c>
      <c r="R91" s="134">
        <v>0</v>
      </c>
      <c r="S91" s="134">
        <v>0</v>
      </c>
      <c r="T91" s="134">
        <v>0</v>
      </c>
      <c r="U91" s="134">
        <v>0</v>
      </c>
      <c r="V91" s="134">
        <v>0</v>
      </c>
      <c r="W91" s="134">
        <v>0</v>
      </c>
      <c r="X91" s="134">
        <v>0</v>
      </c>
      <c r="Y91" s="304">
        <f t="shared" ref="Y91" si="64">SUM(R91:X91)</f>
        <v>0</v>
      </c>
      <c r="Z91" s="6"/>
      <c r="AA91" s="6"/>
      <c r="AB91" s="6"/>
      <c r="AC91" s="6"/>
      <c r="AD91" s="6"/>
      <c r="AE91" s="6"/>
      <c r="AF91" s="6"/>
      <c r="AG91" s="8"/>
      <c r="AI91" s="97"/>
      <c r="AK91" s="349"/>
    </row>
    <row r="92" spans="1:37" x14ac:dyDescent="0.25">
      <c r="B92" s="120"/>
      <c r="C92" s="328" t="s">
        <v>433</v>
      </c>
      <c r="D92" s="23" t="str">
        <f>INDEX(Unit_Rates!$C$7:$K$113,MATCH($C92,Unit_Rates!$C$7:$C$113,0),5)</f>
        <v>Subtransmission</v>
      </c>
      <c r="E92" s="23" t="str">
        <f>INDEX(Unit_Rates!$C$7:$K$113,MATCH($C92,Unit_Rates!$C$7:$C$113,0),6)</f>
        <v>Augmentation</v>
      </c>
      <c r="F92" s="23" t="str">
        <f t="shared" ref="F92" si="65">D92&amp;E92</f>
        <v>SubtransmissionAugmentation</v>
      </c>
      <c r="G92" s="170">
        <f>INDEX(Unit_Rates!$C$7:$K$113,MATCH($C92,Unit_Rates!$C$7:$C$113,0),7)</f>
        <v>18.997386759581939</v>
      </c>
      <c r="H92" s="350">
        <v>3</v>
      </c>
      <c r="I92" s="308" t="s">
        <v>294</v>
      </c>
      <c r="J92" s="108"/>
      <c r="K92" s="170">
        <f t="shared" ref="K92" si="66">G92*H92</f>
        <v>56.992160278745814</v>
      </c>
      <c r="L92" s="170">
        <f t="shared" ref="L92" si="67">SUMPRODUCT(R$5:X$5,R92:X92)/Thousands</f>
        <v>0</v>
      </c>
      <c r="M92" s="170"/>
      <c r="N92" s="446"/>
      <c r="O92" s="446"/>
      <c r="P92" s="446"/>
      <c r="Q92" s="314">
        <f>P92-H92*VLOOKUP(C92,Unit_Rates!$C$7:$E$113,3,FALSE)</f>
        <v>0</v>
      </c>
      <c r="R92" s="134">
        <v>0</v>
      </c>
      <c r="S92" s="134">
        <v>0</v>
      </c>
      <c r="T92" s="134">
        <v>0</v>
      </c>
      <c r="U92" s="134">
        <v>0</v>
      </c>
      <c r="V92" s="134">
        <v>0</v>
      </c>
      <c r="W92" s="134">
        <v>0</v>
      </c>
      <c r="X92" s="134">
        <v>0</v>
      </c>
      <c r="Y92" s="304">
        <f t="shared" ref="Y92" si="68">SUM(R92:X92)</f>
        <v>0</v>
      </c>
      <c r="Z92" s="6"/>
      <c r="AA92" s="6"/>
      <c r="AB92" s="6"/>
      <c r="AC92" s="6"/>
      <c r="AD92" s="6"/>
      <c r="AE92" s="6"/>
      <c r="AF92" s="6"/>
      <c r="AG92" s="8"/>
      <c r="AI92" s="97"/>
      <c r="AK92" s="349"/>
    </row>
    <row r="93" spans="1:37" x14ac:dyDescent="0.25">
      <c r="B93" s="120"/>
      <c r="C93" s="23" t="s">
        <v>229</v>
      </c>
      <c r="D93" s="23" t="str">
        <f>Unit_Rates!G$129</f>
        <v>Distribution system assets</v>
      </c>
      <c r="E93" s="23" t="str">
        <f>Unit_Rates!H$129</f>
        <v>Augmentation</v>
      </c>
      <c r="F93" s="23" t="str">
        <f t="shared" si="57"/>
        <v>Distribution system assetsAugmentation</v>
      </c>
      <c r="G93" s="170">
        <f>Unit_Rates!I$129</f>
        <v>22.603922249219018</v>
      </c>
      <c r="H93" s="350">
        <v>3</v>
      </c>
      <c r="I93" s="308" t="s">
        <v>294</v>
      </c>
      <c r="J93" s="108"/>
      <c r="K93" s="170">
        <f t="shared" si="58"/>
        <v>67.81176674765706</v>
      </c>
      <c r="L93" s="170">
        <f t="shared" si="59"/>
        <v>61.052479788624204</v>
      </c>
      <c r="M93" s="170">
        <f>$H93*Unit_Rates!K$129</f>
        <v>14.357401390916163</v>
      </c>
      <c r="N93" s="446"/>
      <c r="O93" s="446"/>
      <c r="P93" s="446"/>
      <c r="Q93" s="314">
        <f>P93-H93*VLOOKUP(C93,Unit_Rates!$C$7:$E$132,3,FALSE)</f>
        <v>-241.10646418517928</v>
      </c>
      <c r="R93" s="134">
        <f>$H93*Z93*Unit_Rates!$J$129*1000/R$5</f>
        <v>113.90429945494856</v>
      </c>
      <c r="S93" s="134">
        <f>$H93*AA93*Unit_Rates!$J$129*1000/S$5</f>
        <v>130.51204793727101</v>
      </c>
      <c r="T93" s="134">
        <f>$H93*AB93*Unit_Rates!$J$129*1000/T$5</f>
        <v>128.88374335388463</v>
      </c>
      <c r="U93" s="134">
        <v>0</v>
      </c>
      <c r="V93" s="134">
        <v>0</v>
      </c>
      <c r="W93" s="134">
        <v>0</v>
      </c>
      <c r="X93" s="134">
        <v>0</v>
      </c>
      <c r="Y93" s="304">
        <f t="shared" si="60"/>
        <v>373.30009074610416</v>
      </c>
      <c r="Z93" s="6">
        <v>0.30314923274650007</v>
      </c>
      <c r="AA93" s="6">
        <v>0.32449777026385923</v>
      </c>
      <c r="AB93" s="407">
        <v>0.37235299698964058</v>
      </c>
      <c r="AC93" s="6"/>
      <c r="AD93" s="6"/>
      <c r="AE93" s="6"/>
      <c r="AF93" s="6"/>
      <c r="AG93" s="8"/>
      <c r="AI93" s="97"/>
      <c r="AK93" s="349"/>
    </row>
    <row r="94" spans="1:37" x14ac:dyDescent="0.25">
      <c r="B94" s="120"/>
      <c r="C94" s="23" t="s">
        <v>452</v>
      </c>
      <c r="D94" s="23" t="str">
        <f>INDEX(Unit_Rates!$C$7:$K$113,MATCH($C94,Unit_Rates!$C$7:$C$113,0),5)</f>
        <v>Distribution system assets</v>
      </c>
      <c r="E94" s="23" t="str">
        <f>INDEX(Unit_Rates!$C$7:$K$113,MATCH($C94,Unit_Rates!$C$7:$C$113,0),6)</f>
        <v>Augmentation</v>
      </c>
      <c r="F94" s="23" t="str">
        <f t="shared" ref="F94" si="69">D94&amp;E94</f>
        <v>Distribution system assetsAugmentation</v>
      </c>
      <c r="G94" s="170">
        <f>INDEX(Unit_Rates!$C$7:$K$113,MATCH($C94,Unit_Rates!$C$7:$C$113,0),7)</f>
        <v>4.3774577767537882E-2</v>
      </c>
      <c r="H94" s="345">
        <v>200</v>
      </c>
      <c r="I94" s="123" t="s">
        <v>295</v>
      </c>
      <c r="K94" s="251">
        <f t="shared" ref="K94" si="70">G94*H94</f>
        <v>8.7549155535075762</v>
      </c>
      <c r="L94" s="251">
        <f>SUMPRODUCT(R$5:X$5,R94:X94)/Thousands</f>
        <v>0</v>
      </c>
      <c r="M94" s="211"/>
      <c r="N94" s="447"/>
      <c r="O94" s="447"/>
      <c r="P94" s="447"/>
      <c r="Q94" s="314">
        <f>P94-H94*VLOOKUP(C94,Unit_Rates!$C$7:$E$113,3,FALSE)</f>
        <v>0</v>
      </c>
      <c r="R94" s="134">
        <v>0</v>
      </c>
      <c r="S94" s="134">
        <v>0</v>
      </c>
      <c r="T94" s="134">
        <v>0</v>
      </c>
      <c r="U94" s="134">
        <v>0</v>
      </c>
      <c r="V94" s="134">
        <v>0</v>
      </c>
      <c r="W94" s="134">
        <v>0</v>
      </c>
      <c r="X94" s="134">
        <v>0</v>
      </c>
      <c r="Y94" s="304">
        <f t="shared" ref="Y94" si="71">SUM(R94:X94)</f>
        <v>0</v>
      </c>
      <c r="Z94" s="6"/>
      <c r="AA94" s="6"/>
      <c r="AB94" s="6"/>
      <c r="AC94" s="6"/>
      <c r="AD94" s="6"/>
      <c r="AE94" s="6"/>
      <c r="AF94" s="6"/>
      <c r="AI94" s="97"/>
      <c r="AK94" s="349"/>
    </row>
    <row r="95" spans="1:37" x14ac:dyDescent="0.25">
      <c r="B95" s="120"/>
      <c r="C95" s="23" t="s">
        <v>451</v>
      </c>
      <c r="G95" s="166"/>
      <c r="H95" s="307"/>
      <c r="I95" s="123"/>
      <c r="K95" s="212">
        <v>151.73884257991045</v>
      </c>
      <c r="L95" s="212">
        <v>61.052479788624204</v>
      </c>
      <c r="M95" s="212">
        <v>14.357401390916163</v>
      </c>
      <c r="N95" s="212">
        <v>271.81954263284933</v>
      </c>
      <c r="O95" s="212">
        <v>25.819201738652989</v>
      </c>
      <c r="P95" s="212">
        <v>524.78746813095313</v>
      </c>
      <c r="Q95" s="152"/>
      <c r="Y95" s="77"/>
      <c r="Z95" s="6"/>
      <c r="AA95" s="6"/>
      <c r="AB95" s="6"/>
      <c r="AC95" s="6"/>
      <c r="AD95" s="6"/>
      <c r="AE95" s="6"/>
      <c r="AF95" s="6"/>
      <c r="AG95" s="8"/>
      <c r="AI95" s="97"/>
      <c r="AK95" s="349"/>
    </row>
    <row r="96" spans="1:37" x14ac:dyDescent="0.25">
      <c r="B96" s="120"/>
      <c r="C96" s="23"/>
      <c r="G96" s="166"/>
      <c r="H96" s="307"/>
      <c r="I96" s="123"/>
      <c r="K96" s="212"/>
      <c r="L96" s="212"/>
      <c r="M96" s="170"/>
      <c r="N96" s="170"/>
      <c r="O96" s="170"/>
      <c r="P96" s="206"/>
      <c r="Q96" s="152"/>
      <c r="Y96" s="77"/>
      <c r="Z96" s="6"/>
      <c r="AA96" s="6"/>
      <c r="AB96" s="6"/>
      <c r="AC96" s="6"/>
      <c r="AD96" s="6"/>
      <c r="AE96" s="6"/>
      <c r="AF96" s="6"/>
      <c r="AG96" s="8"/>
      <c r="AI96" s="97"/>
      <c r="AK96" s="349"/>
    </row>
    <row r="97" spans="2:37" x14ac:dyDescent="0.25">
      <c r="B97" s="120" t="s">
        <v>330</v>
      </c>
      <c r="G97" s="167"/>
      <c r="H97" s="84"/>
      <c r="I97" s="167"/>
      <c r="K97" s="343">
        <f t="shared" ref="K97:P97" si="72">K95+K86</f>
        <v>234.74564178218134</v>
      </c>
      <c r="L97" s="343">
        <f t="shared" si="72"/>
        <v>101.75413298104033</v>
      </c>
      <c r="M97" s="344">
        <f t="shared" si="72"/>
        <v>23.929002318193604</v>
      </c>
      <c r="N97" s="344">
        <f t="shared" si="72"/>
        <v>599.22500444811567</v>
      </c>
      <c r="O97" s="344">
        <f t="shared" si="72"/>
        <v>39.66562659113476</v>
      </c>
      <c r="P97" s="344">
        <f t="shared" si="72"/>
        <v>999.31940812066568</v>
      </c>
      <c r="R97" s="216"/>
      <c r="S97" s="216"/>
      <c r="T97" s="216"/>
      <c r="Z97" s="8"/>
      <c r="AA97" s="8"/>
      <c r="AB97" s="8"/>
      <c r="AK97" s="349"/>
    </row>
    <row r="98" spans="2:37" x14ac:dyDescent="0.25">
      <c r="B98" s="195" t="s">
        <v>307</v>
      </c>
      <c r="C98" s="102"/>
      <c r="D98" s="102"/>
      <c r="E98" s="102"/>
      <c r="F98" s="102"/>
      <c r="G98" s="102"/>
      <c r="H98" s="102"/>
      <c r="I98" s="102"/>
      <c r="J98" s="102"/>
      <c r="K98" s="217">
        <v>0</v>
      </c>
      <c r="L98" s="217">
        <v>0</v>
      </c>
      <c r="M98" s="217">
        <v>0</v>
      </c>
      <c r="N98" s="217">
        <v>0</v>
      </c>
      <c r="O98" s="217">
        <v>0</v>
      </c>
      <c r="P98" s="218">
        <v>0</v>
      </c>
      <c r="Q98" s="163"/>
      <c r="AK98" s="349"/>
    </row>
    <row r="99" spans="2:37" x14ac:dyDescent="0.25">
      <c r="B99" s="120" t="s">
        <v>33</v>
      </c>
      <c r="C99" s="3"/>
      <c r="D99" s="3"/>
      <c r="E99" s="3"/>
      <c r="F99" s="3"/>
      <c r="G99" s="3"/>
      <c r="H99" s="3"/>
      <c r="I99" s="3"/>
      <c r="J99" s="3"/>
      <c r="K99" s="340">
        <f t="shared" ref="K99:P99" si="73">K77+K97</f>
        <v>5917.9925108070056</v>
      </c>
      <c r="L99" s="340">
        <f t="shared" si="73"/>
        <v>1041.9639012149059</v>
      </c>
      <c r="M99" s="341">
        <f t="shared" si="73"/>
        <v>1273.9290023181936</v>
      </c>
      <c r="N99" s="341">
        <f t="shared" si="73"/>
        <v>4818.5016419430995</v>
      </c>
      <c r="O99" s="341">
        <f t="shared" si="73"/>
        <v>235.13138849947097</v>
      </c>
      <c r="P99" s="342">
        <f t="shared" si="73"/>
        <v>13287.518444782672</v>
      </c>
      <c r="AK99" s="349"/>
    </row>
    <row r="100" spans="2:37" x14ac:dyDescent="0.25">
      <c r="B100" s="224" t="s">
        <v>307</v>
      </c>
      <c r="C100" s="225"/>
      <c r="D100" s="225"/>
      <c r="E100" s="225"/>
      <c r="F100" s="225"/>
      <c r="G100" s="225"/>
      <c r="H100" s="225"/>
      <c r="I100" s="225"/>
      <c r="J100" s="225"/>
      <c r="K100" s="226">
        <v>0</v>
      </c>
      <c r="L100" s="226">
        <v>0</v>
      </c>
      <c r="M100" s="227">
        <v>0</v>
      </c>
      <c r="N100" s="227">
        <v>0</v>
      </c>
      <c r="O100" s="227">
        <v>0</v>
      </c>
      <c r="P100" s="364">
        <v>0</v>
      </c>
      <c r="Q100" s="319"/>
      <c r="AB100" s="183"/>
      <c r="AK100" s="349"/>
    </row>
    <row r="101" spans="2:37" x14ac:dyDescent="0.25">
      <c r="O101" s="320"/>
      <c r="P101" s="321"/>
      <c r="AK101" s="349"/>
    </row>
    <row r="102" spans="2:37" x14ac:dyDescent="0.25">
      <c r="O102" s="305"/>
      <c r="P102" s="322"/>
      <c r="AK102" s="349"/>
    </row>
    <row r="103" spans="2:37" x14ac:dyDescent="0.25">
      <c r="C103" t="s">
        <v>439</v>
      </c>
      <c r="D103" t="s">
        <v>3</v>
      </c>
      <c r="E103" t="s">
        <v>27</v>
      </c>
      <c r="F103" s="23" t="str">
        <f t="shared" ref="F103:F125" si="74">D103&amp;E103</f>
        <v>SubtransmissionAugmentation</v>
      </c>
      <c r="K103" s="232">
        <v>2960.4036386850253</v>
      </c>
      <c r="L103" s="232">
        <v>0</v>
      </c>
      <c r="M103" s="233">
        <v>0</v>
      </c>
      <c r="N103" s="233">
        <v>3486.9047359746014</v>
      </c>
      <c r="O103" s="233">
        <v>179.4171245302081</v>
      </c>
      <c r="P103" s="233">
        <v>6626.7254991898344</v>
      </c>
      <c r="AK103" s="349"/>
    </row>
    <row r="104" spans="2:37" x14ac:dyDescent="0.25">
      <c r="D104" t="s">
        <v>3</v>
      </c>
      <c r="E104" t="s">
        <v>28</v>
      </c>
      <c r="F104" s="23" t="str">
        <f t="shared" si="74"/>
        <v>SubtransmissionReplacement</v>
      </c>
      <c r="K104" s="232">
        <v>0</v>
      </c>
      <c r="L104" s="232">
        <v>0</v>
      </c>
      <c r="M104" s="233">
        <v>0</v>
      </c>
      <c r="N104" s="233">
        <v>0</v>
      </c>
      <c r="O104" s="233">
        <v>0</v>
      </c>
      <c r="P104" s="233">
        <v>0</v>
      </c>
      <c r="AK104" s="349"/>
    </row>
    <row r="105" spans="2:37" x14ac:dyDescent="0.25">
      <c r="D105" t="s">
        <v>2</v>
      </c>
      <c r="E105" t="s">
        <v>27</v>
      </c>
      <c r="F105" s="23" t="str">
        <f t="shared" si="74"/>
        <v>SCADA/Network controlAugmentation</v>
      </c>
      <c r="K105" s="232">
        <v>2722.8432303397976</v>
      </c>
      <c r="L105" s="232">
        <v>0</v>
      </c>
      <c r="M105" s="233">
        <v>0</v>
      </c>
      <c r="N105" s="233">
        <v>510.43690152038118</v>
      </c>
      <c r="O105" s="233">
        <v>16.048637378128117</v>
      </c>
      <c r="P105" s="233">
        <v>3249.3287692383069</v>
      </c>
      <c r="AK105" s="349"/>
    </row>
    <row r="106" spans="2:37" x14ac:dyDescent="0.25">
      <c r="D106" t="s">
        <v>2</v>
      </c>
      <c r="E106" t="s">
        <v>28</v>
      </c>
      <c r="F106" s="23" t="str">
        <f t="shared" si="74"/>
        <v>SCADA/Network controlReplacement</v>
      </c>
      <c r="K106" s="232">
        <v>0</v>
      </c>
      <c r="L106" s="232">
        <v>0</v>
      </c>
      <c r="M106" s="233">
        <v>0</v>
      </c>
      <c r="N106" s="233">
        <v>0</v>
      </c>
      <c r="O106" s="233">
        <v>0</v>
      </c>
      <c r="P106" s="233">
        <v>0</v>
      </c>
      <c r="AK106" s="349"/>
    </row>
    <row r="107" spans="2:37" x14ac:dyDescent="0.25">
      <c r="D107" t="s">
        <v>4</v>
      </c>
      <c r="E107" t="s">
        <v>29</v>
      </c>
      <c r="F107" s="23" t="str">
        <f t="shared" si="74"/>
        <v>LandNon-Network</v>
      </c>
      <c r="K107" s="337">
        <v>0</v>
      </c>
      <c r="L107" s="337">
        <v>0</v>
      </c>
      <c r="M107" s="338">
        <v>0</v>
      </c>
      <c r="N107" s="338">
        <v>221.935</v>
      </c>
      <c r="O107" s="338">
        <v>0</v>
      </c>
      <c r="P107" s="338">
        <v>221.935</v>
      </c>
      <c r="AK107" s="349"/>
    </row>
    <row r="108" spans="2:37" x14ac:dyDescent="0.25">
      <c r="K108" s="232">
        <v>5683.2468690248224</v>
      </c>
      <c r="L108" s="232">
        <v>0</v>
      </c>
      <c r="M108" s="233">
        <v>0</v>
      </c>
      <c r="N108" s="233">
        <v>4219.2766374949824</v>
      </c>
      <c r="O108" s="233">
        <v>195.46576190833622</v>
      </c>
      <c r="P108" s="233">
        <v>10097.98926842814</v>
      </c>
      <c r="AK108" s="349"/>
    </row>
    <row r="109" spans="2:37" outlineLevel="1" x14ac:dyDescent="0.25">
      <c r="C109" t="s">
        <v>331</v>
      </c>
      <c r="D109" t="s">
        <v>3</v>
      </c>
      <c r="E109" t="s">
        <v>27</v>
      </c>
      <c r="F109" s="23" t="str">
        <f t="shared" ref="F109:F113" si="75">D109&amp;E109</f>
        <v>SubtransmissionAugmentation</v>
      </c>
      <c r="K109" s="4"/>
      <c r="L109" s="232">
        <v>617.00521560492484</v>
      </c>
      <c r="M109" s="233">
        <v>820.3026022106967</v>
      </c>
      <c r="N109" s="233">
        <v>0</v>
      </c>
      <c r="O109" s="229"/>
      <c r="P109" s="233">
        <v>1437.3078178156215</v>
      </c>
    </row>
    <row r="110" spans="2:37" outlineLevel="1" x14ac:dyDescent="0.25">
      <c r="D110" t="s">
        <v>3</v>
      </c>
      <c r="E110" t="s">
        <v>28</v>
      </c>
      <c r="F110" s="23" t="str">
        <f t="shared" si="75"/>
        <v>SubtransmissionReplacement</v>
      </c>
      <c r="K110" s="4"/>
      <c r="L110" s="232">
        <v>0</v>
      </c>
      <c r="M110" s="233">
        <v>0</v>
      </c>
      <c r="N110" s="233">
        <v>0</v>
      </c>
      <c r="O110" s="229"/>
      <c r="P110" s="233">
        <v>0</v>
      </c>
    </row>
    <row r="111" spans="2:37" outlineLevel="1" x14ac:dyDescent="0.25">
      <c r="D111" t="s">
        <v>2</v>
      </c>
      <c r="E111" t="s">
        <v>27</v>
      </c>
      <c r="F111" s="23" t="str">
        <f t="shared" si="75"/>
        <v>SCADA/Network controlAugmentation</v>
      </c>
      <c r="K111" s="4"/>
      <c r="L111" s="232">
        <v>302.54049274868476</v>
      </c>
      <c r="M111" s="233">
        <v>402.22472549528902</v>
      </c>
      <c r="N111" s="233">
        <v>0</v>
      </c>
      <c r="O111" s="229"/>
      <c r="P111" s="233">
        <v>704.76521824397378</v>
      </c>
    </row>
    <row r="112" spans="2:37" outlineLevel="1" x14ac:dyDescent="0.25">
      <c r="D112" t="s">
        <v>2</v>
      </c>
      <c r="E112" t="s">
        <v>28</v>
      </c>
      <c r="F112" s="23" t="str">
        <f t="shared" si="75"/>
        <v>SCADA/Network controlReplacement</v>
      </c>
      <c r="K112" s="4"/>
      <c r="L112" s="232">
        <v>0</v>
      </c>
      <c r="M112" s="233">
        <v>0</v>
      </c>
      <c r="N112" s="233">
        <v>0</v>
      </c>
      <c r="O112" s="229"/>
      <c r="P112" s="233">
        <v>0</v>
      </c>
    </row>
    <row r="113" spans="1:36" outlineLevel="1" x14ac:dyDescent="0.25">
      <c r="D113" t="s">
        <v>4</v>
      </c>
      <c r="E113" t="s">
        <v>29</v>
      </c>
      <c r="F113" s="23" t="str">
        <f t="shared" si="75"/>
        <v>LandNon-Network</v>
      </c>
      <c r="K113" s="230"/>
      <c r="L113" s="337">
        <v>20.664059880256136</v>
      </c>
      <c r="M113" s="338">
        <v>27.472672294014348</v>
      </c>
      <c r="N113" s="338">
        <v>0</v>
      </c>
      <c r="O113" s="231"/>
      <c r="P113" s="338">
        <v>48.136732174270485</v>
      </c>
    </row>
    <row r="114" spans="1:36" outlineLevel="1" x14ac:dyDescent="0.25">
      <c r="K114" s="232">
        <v>0</v>
      </c>
      <c r="L114" s="232">
        <v>940.2097682338657</v>
      </c>
      <c r="M114" s="233">
        <v>1250</v>
      </c>
      <c r="N114" s="233">
        <v>0</v>
      </c>
      <c r="O114" s="233">
        <v>0</v>
      </c>
      <c r="P114" s="233">
        <v>2190.2097682338658</v>
      </c>
    </row>
    <row r="115" spans="1:36" outlineLevel="1" x14ac:dyDescent="0.25">
      <c r="C115" t="s">
        <v>443</v>
      </c>
      <c r="D115" t="s">
        <v>3</v>
      </c>
      <c r="E115" t="s">
        <v>27</v>
      </c>
      <c r="F115" s="23" t="str">
        <f t="shared" ref="F115:F119" si="76">D115&amp;E115</f>
        <v>SubtransmissionAugmentation</v>
      </c>
      <c r="K115" s="232">
        <v>2960.4036386850253</v>
      </c>
      <c r="L115" s="232">
        <v>617.00521560492484</v>
      </c>
      <c r="M115" s="233">
        <v>820.3026022106967</v>
      </c>
      <c r="N115" s="233">
        <v>3486.9047359746014</v>
      </c>
      <c r="O115" s="233">
        <v>179.4171245302081</v>
      </c>
      <c r="P115" s="233">
        <v>8064.0333170054564</v>
      </c>
    </row>
    <row r="116" spans="1:36" outlineLevel="1" x14ac:dyDescent="0.25">
      <c r="D116" t="s">
        <v>3</v>
      </c>
      <c r="E116" t="s">
        <v>28</v>
      </c>
      <c r="F116" s="23" t="str">
        <f t="shared" si="76"/>
        <v>SubtransmissionReplacement</v>
      </c>
      <c r="K116" s="232">
        <v>0</v>
      </c>
      <c r="L116" s="232">
        <v>0</v>
      </c>
      <c r="M116" s="233">
        <v>0</v>
      </c>
      <c r="N116" s="233">
        <v>0</v>
      </c>
      <c r="O116" s="233">
        <v>0</v>
      </c>
      <c r="P116" s="233">
        <v>0</v>
      </c>
    </row>
    <row r="117" spans="1:36" outlineLevel="1" x14ac:dyDescent="0.25">
      <c r="D117" t="s">
        <v>2</v>
      </c>
      <c r="E117" t="s">
        <v>27</v>
      </c>
      <c r="F117" s="23" t="str">
        <f t="shared" si="76"/>
        <v>SCADA/Network controlAugmentation</v>
      </c>
      <c r="K117" s="232">
        <v>2722.8432303397976</v>
      </c>
      <c r="L117" s="232">
        <v>302.54049274868476</v>
      </c>
      <c r="M117" s="233">
        <v>402.22472549528902</v>
      </c>
      <c r="N117" s="233">
        <v>510.43690152038118</v>
      </c>
      <c r="O117" s="233">
        <v>16.048637378128117</v>
      </c>
      <c r="P117" s="233">
        <v>3954.0939874822807</v>
      </c>
    </row>
    <row r="118" spans="1:36" outlineLevel="1" x14ac:dyDescent="0.25">
      <c r="D118" t="s">
        <v>2</v>
      </c>
      <c r="E118" t="s">
        <v>28</v>
      </c>
      <c r="F118" s="23" t="str">
        <f t="shared" si="76"/>
        <v>SCADA/Network controlReplacement</v>
      </c>
      <c r="K118" s="232">
        <v>0</v>
      </c>
      <c r="L118" s="232">
        <v>0</v>
      </c>
      <c r="M118" s="233">
        <v>0</v>
      </c>
      <c r="N118" s="233">
        <v>0</v>
      </c>
      <c r="O118" s="233">
        <v>0</v>
      </c>
      <c r="P118" s="233">
        <v>0</v>
      </c>
    </row>
    <row r="119" spans="1:36" outlineLevel="1" x14ac:dyDescent="0.25">
      <c r="D119" t="s">
        <v>4</v>
      </c>
      <c r="E119" t="s">
        <v>29</v>
      </c>
      <c r="F119" s="23" t="str">
        <f t="shared" si="76"/>
        <v>LandNon-Network</v>
      </c>
      <c r="K119" s="337">
        <v>0</v>
      </c>
      <c r="L119" s="337">
        <v>20.664059880256136</v>
      </c>
      <c r="M119" s="338">
        <v>27.472672294014348</v>
      </c>
      <c r="N119" s="338">
        <v>221.935</v>
      </c>
      <c r="O119" s="338">
        <v>0</v>
      </c>
      <c r="P119" s="338">
        <v>270.07173217427049</v>
      </c>
    </row>
    <row r="120" spans="1:36" s="108" customFormat="1" outlineLevel="1" x14ac:dyDescent="0.25">
      <c r="A120"/>
      <c r="B120"/>
      <c r="C120"/>
      <c r="D120"/>
      <c r="E120"/>
      <c r="F120"/>
      <c r="G120"/>
      <c r="H120"/>
      <c r="I120"/>
      <c r="J120"/>
      <c r="K120" s="232">
        <v>5683.2468690248224</v>
      </c>
      <c r="L120" s="232">
        <v>940.2097682338657</v>
      </c>
      <c r="M120" s="233">
        <v>1250</v>
      </c>
      <c r="N120" s="233">
        <v>4219.2766374949824</v>
      </c>
      <c r="O120" s="233">
        <v>195.46576190833622</v>
      </c>
      <c r="P120" s="233">
        <v>12288.199036662008</v>
      </c>
      <c r="X120"/>
      <c r="Y120"/>
      <c r="Z120"/>
      <c r="AA120"/>
      <c r="AB120"/>
      <c r="AC120"/>
      <c r="AD120"/>
      <c r="AE120"/>
      <c r="AF120"/>
      <c r="AG120"/>
      <c r="AH120"/>
      <c r="AI120"/>
      <c r="AJ120"/>
    </row>
    <row r="121" spans="1:36" s="108" customFormat="1" outlineLevel="1" x14ac:dyDescent="0.25">
      <c r="A121"/>
      <c r="B121"/>
      <c r="C121"/>
      <c r="D121"/>
      <c r="E121"/>
      <c r="F121"/>
      <c r="G121"/>
      <c r="H121"/>
      <c r="I121"/>
      <c r="J121"/>
      <c r="K121" s="96">
        <v>0</v>
      </c>
      <c r="L121" s="96">
        <v>0</v>
      </c>
      <c r="M121" s="339">
        <v>0</v>
      </c>
      <c r="N121" s="339">
        <v>0</v>
      </c>
      <c r="O121" s="339">
        <v>0</v>
      </c>
      <c r="P121" s="339">
        <v>0</v>
      </c>
      <c r="X121"/>
      <c r="Y121"/>
      <c r="Z121"/>
      <c r="AA121"/>
      <c r="AB121"/>
      <c r="AC121"/>
      <c r="AD121"/>
      <c r="AE121"/>
      <c r="AF121"/>
      <c r="AG121"/>
      <c r="AH121"/>
      <c r="AI121"/>
      <c r="AJ121"/>
    </row>
    <row r="122" spans="1:36" s="108" customFormat="1" outlineLevel="1" x14ac:dyDescent="0.25">
      <c r="B122"/>
      <c r="C122" s="23" t="s">
        <v>446</v>
      </c>
      <c r="D122" t="s">
        <v>3</v>
      </c>
      <c r="E122" t="s">
        <v>27</v>
      </c>
      <c r="F122" s="23" t="str">
        <f t="shared" ref="F122:F123" si="77">D122&amp;E122</f>
        <v>SubtransmissionAugmentation</v>
      </c>
      <c r="G122"/>
      <c r="H122"/>
      <c r="I122"/>
      <c r="J122"/>
      <c r="K122" s="232">
        <v>0</v>
      </c>
      <c r="L122" s="232">
        <v>0</v>
      </c>
      <c r="M122" s="233">
        <v>0</v>
      </c>
      <c r="N122" s="233">
        <v>0</v>
      </c>
      <c r="O122" s="233">
        <v>0</v>
      </c>
      <c r="P122" s="233">
        <v>0</v>
      </c>
      <c r="X122"/>
      <c r="Y122"/>
      <c r="Z122"/>
      <c r="AA122"/>
      <c r="AB122"/>
      <c r="AC122"/>
      <c r="AD122"/>
      <c r="AE122"/>
      <c r="AF122"/>
      <c r="AG122"/>
      <c r="AH122"/>
      <c r="AI122"/>
      <c r="AJ122"/>
    </row>
    <row r="123" spans="1:36" s="108" customFormat="1" outlineLevel="1" x14ac:dyDescent="0.25">
      <c r="B123"/>
      <c r="C123"/>
      <c r="D123" t="s">
        <v>3</v>
      </c>
      <c r="E123" t="s">
        <v>28</v>
      </c>
      <c r="F123" s="23" t="str">
        <f t="shared" si="77"/>
        <v>SubtransmissionReplacement</v>
      </c>
      <c r="G123"/>
      <c r="H123"/>
      <c r="I123"/>
      <c r="J123"/>
      <c r="K123" s="232">
        <v>0</v>
      </c>
      <c r="L123" s="232">
        <v>0</v>
      </c>
      <c r="M123" s="233">
        <v>0</v>
      </c>
      <c r="N123" s="233">
        <v>0</v>
      </c>
      <c r="O123" s="233">
        <v>0</v>
      </c>
      <c r="P123" s="233">
        <v>0</v>
      </c>
      <c r="X123"/>
      <c r="Y123"/>
      <c r="Z123"/>
      <c r="AA123"/>
      <c r="AB123"/>
      <c r="AC123"/>
      <c r="AD123"/>
      <c r="AE123"/>
      <c r="AF123"/>
      <c r="AG123"/>
      <c r="AH123"/>
      <c r="AI123"/>
      <c r="AJ123"/>
    </row>
    <row r="124" spans="1:36" s="108" customFormat="1" outlineLevel="1" x14ac:dyDescent="0.25">
      <c r="B124"/>
      <c r="D124" t="s">
        <v>92</v>
      </c>
      <c r="E124" t="s">
        <v>27</v>
      </c>
      <c r="F124" s="23" t="str">
        <f t="shared" si="74"/>
        <v>Distribution system assetsAugmentation</v>
      </c>
      <c r="G124"/>
      <c r="H124"/>
      <c r="I124"/>
      <c r="J124"/>
      <c r="K124" s="232">
        <v>70.886799202270865</v>
      </c>
      <c r="L124" s="232">
        <v>40.701653192416131</v>
      </c>
      <c r="M124" s="233">
        <v>9.5716009272774425</v>
      </c>
      <c r="N124" s="233">
        <v>307.88346426724206</v>
      </c>
      <c r="O124" s="233">
        <v>13.296424852481772</v>
      </c>
      <c r="P124" s="233">
        <v>442.33994244168832</v>
      </c>
      <c r="X124"/>
      <c r="Y124"/>
      <c r="Z124"/>
      <c r="AA124"/>
      <c r="AB124"/>
      <c r="AC124"/>
      <c r="AD124"/>
      <c r="AE124"/>
      <c r="AF124"/>
      <c r="AG124"/>
      <c r="AH124"/>
      <c r="AI124"/>
      <c r="AJ124"/>
    </row>
    <row r="125" spans="1:36" s="108" customFormat="1" outlineLevel="1" x14ac:dyDescent="0.25">
      <c r="B125"/>
      <c r="C125"/>
      <c r="D125" t="s">
        <v>92</v>
      </c>
      <c r="E125" t="s">
        <v>28</v>
      </c>
      <c r="F125" s="23" t="str">
        <f t="shared" si="74"/>
        <v>Distribution system assetsReplacement</v>
      </c>
      <c r="G125"/>
      <c r="H125"/>
      <c r="I125"/>
      <c r="J125"/>
      <c r="K125" s="337">
        <v>12.12</v>
      </c>
      <c r="L125" s="337">
        <v>0</v>
      </c>
      <c r="M125" s="338">
        <v>0</v>
      </c>
      <c r="N125" s="338">
        <v>19.52199754802427</v>
      </c>
      <c r="O125" s="338">
        <v>0.55000000000000004</v>
      </c>
      <c r="P125" s="338">
        <v>32.191997548024268</v>
      </c>
      <c r="X125"/>
      <c r="Y125"/>
      <c r="Z125"/>
      <c r="AA125"/>
      <c r="AB125"/>
      <c r="AC125"/>
      <c r="AD125"/>
      <c r="AE125"/>
      <c r="AF125"/>
      <c r="AG125"/>
      <c r="AH125"/>
      <c r="AI125"/>
      <c r="AJ125"/>
    </row>
    <row r="126" spans="1:36" s="108" customFormat="1" outlineLevel="1" x14ac:dyDescent="0.25">
      <c r="B126"/>
      <c r="C126"/>
      <c r="D126"/>
      <c r="E126"/>
      <c r="F126"/>
      <c r="G126"/>
      <c r="H126"/>
      <c r="I126"/>
      <c r="J126"/>
      <c r="K126" s="304">
        <v>83.006799202270869</v>
      </c>
      <c r="L126" s="304">
        <v>40.701653192416131</v>
      </c>
      <c r="M126" s="304">
        <v>9.5716009272774425</v>
      </c>
      <c r="N126" s="304">
        <v>327.40546181526634</v>
      </c>
      <c r="O126" s="304">
        <v>13.846424852481773</v>
      </c>
      <c r="P126" s="304">
        <v>474.53193998971261</v>
      </c>
      <c r="X126"/>
      <c r="Y126"/>
      <c r="Z126"/>
      <c r="AA126"/>
      <c r="AB126"/>
      <c r="AC126"/>
      <c r="AD126"/>
      <c r="AE126"/>
      <c r="AF126"/>
      <c r="AG126"/>
      <c r="AH126"/>
      <c r="AI126"/>
      <c r="AJ126"/>
    </row>
    <row r="127" spans="1:36" s="108" customFormat="1" outlineLevel="1" x14ac:dyDescent="0.25">
      <c r="B127"/>
      <c r="C127"/>
      <c r="D127"/>
      <c r="E127"/>
      <c r="F127"/>
      <c r="G127"/>
      <c r="H127"/>
      <c r="I127"/>
      <c r="J127"/>
      <c r="K127" s="336">
        <v>0</v>
      </c>
      <c r="L127" s="336">
        <v>0</v>
      </c>
      <c r="M127" s="314">
        <v>0</v>
      </c>
      <c r="N127" s="314">
        <v>0</v>
      </c>
      <c r="O127" s="314">
        <v>0</v>
      </c>
      <c r="P127" s="314">
        <v>0</v>
      </c>
      <c r="X127"/>
      <c r="Y127"/>
      <c r="Z127"/>
      <c r="AA127"/>
      <c r="AB127"/>
      <c r="AC127"/>
      <c r="AD127"/>
      <c r="AE127"/>
      <c r="AF127"/>
      <c r="AG127"/>
      <c r="AH127"/>
      <c r="AI127"/>
      <c r="AJ127"/>
    </row>
    <row r="128" spans="1:36" s="108" customFormat="1" outlineLevel="1" x14ac:dyDescent="0.25">
      <c r="B128"/>
      <c r="C128" t="s">
        <v>449</v>
      </c>
      <c r="D128" t="s">
        <v>3</v>
      </c>
      <c r="E128" t="s">
        <v>27</v>
      </c>
      <c r="F128" s="23" t="str">
        <f t="shared" ref="F128:F131" si="78">D128&amp;E128</f>
        <v>SubtransmissionAugmentation</v>
      </c>
      <c r="G128"/>
      <c r="H128"/>
      <c r="I128"/>
      <c r="J128"/>
      <c r="K128" s="232">
        <v>56.992160278745814</v>
      </c>
      <c r="L128" s="232">
        <v>0</v>
      </c>
      <c r="M128" s="232">
        <v>0</v>
      </c>
      <c r="N128" s="232">
        <v>41.182003484320681</v>
      </c>
      <c r="O128" s="232">
        <v>5.0495644599303287</v>
      </c>
      <c r="P128" s="232">
        <v>103.22372822299683</v>
      </c>
      <c r="X128"/>
      <c r="Y128"/>
      <c r="Z128"/>
      <c r="AA128"/>
      <c r="AB128"/>
      <c r="AC128"/>
      <c r="AD128"/>
      <c r="AE128"/>
      <c r="AF128"/>
      <c r="AG128"/>
      <c r="AH128"/>
      <c r="AI128"/>
      <c r="AJ128"/>
    </row>
    <row r="129" spans="1:36" s="108" customFormat="1" outlineLevel="1" x14ac:dyDescent="0.25">
      <c r="B129"/>
      <c r="C129"/>
      <c r="D129" t="s">
        <v>3</v>
      </c>
      <c r="E129" t="s">
        <v>28</v>
      </c>
      <c r="F129" s="23" t="str">
        <f t="shared" si="78"/>
        <v>SubtransmissionReplacement</v>
      </c>
      <c r="G129"/>
      <c r="H129"/>
      <c r="I129"/>
      <c r="J129"/>
      <c r="K129" s="232">
        <v>0</v>
      </c>
      <c r="L129" s="232">
        <v>0</v>
      </c>
      <c r="M129" s="232">
        <v>0</v>
      </c>
      <c r="N129" s="232">
        <v>0</v>
      </c>
      <c r="O129" s="232">
        <v>0</v>
      </c>
      <c r="P129" s="232">
        <v>0</v>
      </c>
      <c r="X129"/>
      <c r="Y129"/>
      <c r="Z129"/>
      <c r="AA129"/>
      <c r="AB129"/>
      <c r="AC129"/>
      <c r="AD129"/>
      <c r="AE129"/>
      <c r="AF129"/>
      <c r="AG129"/>
      <c r="AH129"/>
      <c r="AI129"/>
      <c r="AJ129"/>
    </row>
    <row r="130" spans="1:36" s="108" customFormat="1" outlineLevel="1" x14ac:dyDescent="0.25">
      <c r="B130"/>
      <c r="C130"/>
      <c r="D130" t="s">
        <v>92</v>
      </c>
      <c r="E130" t="s">
        <v>27</v>
      </c>
      <c r="F130" s="23" t="str">
        <f t="shared" si="78"/>
        <v>Distribution system assetsAugmentation</v>
      </c>
      <c r="G130"/>
      <c r="H130"/>
      <c r="I130"/>
      <c r="J130"/>
      <c r="K130" s="232">
        <v>82.626682301164635</v>
      </c>
      <c r="L130" s="232">
        <v>61.052479788624204</v>
      </c>
      <c r="M130" s="232">
        <v>14.357401390916163</v>
      </c>
      <c r="N130" s="232">
        <v>211.1155416005044</v>
      </c>
      <c r="O130" s="232">
        <v>20.219637278722658</v>
      </c>
      <c r="P130" s="232">
        <v>389.37174235993206</v>
      </c>
      <c r="X130"/>
      <c r="Y130"/>
      <c r="Z130"/>
      <c r="AA130"/>
      <c r="AB130"/>
      <c r="AC130"/>
      <c r="AD130"/>
      <c r="AE130"/>
      <c r="AF130"/>
      <c r="AG130"/>
      <c r="AH130"/>
      <c r="AI130"/>
      <c r="AJ130"/>
    </row>
    <row r="131" spans="1:36" s="108" customFormat="1" outlineLevel="1" x14ac:dyDescent="0.25">
      <c r="B131"/>
      <c r="C131"/>
      <c r="D131" t="s">
        <v>92</v>
      </c>
      <c r="E131" t="s">
        <v>28</v>
      </c>
      <c r="F131" s="23" t="str">
        <f t="shared" si="78"/>
        <v>Distribution system assetsReplacement</v>
      </c>
      <c r="G131"/>
      <c r="H131"/>
      <c r="I131"/>
      <c r="J131"/>
      <c r="K131" s="337">
        <v>12.12</v>
      </c>
      <c r="L131" s="337">
        <v>0</v>
      </c>
      <c r="M131" s="337">
        <v>0</v>
      </c>
      <c r="N131" s="337">
        <v>19.52199754802427</v>
      </c>
      <c r="O131" s="337">
        <v>0.55000000000000004</v>
      </c>
      <c r="P131" s="337">
        <v>32.191997548024268</v>
      </c>
      <c r="X131"/>
      <c r="Y131"/>
      <c r="Z131"/>
      <c r="AA131"/>
      <c r="AB131"/>
      <c r="AC131"/>
      <c r="AD131"/>
      <c r="AE131"/>
      <c r="AF131"/>
      <c r="AG131"/>
      <c r="AH131"/>
      <c r="AI131"/>
      <c r="AJ131"/>
    </row>
    <row r="132" spans="1:36" s="108" customFormat="1" outlineLevel="1" x14ac:dyDescent="0.25">
      <c r="B132"/>
      <c r="C132"/>
      <c r="D132"/>
      <c r="E132"/>
      <c r="F132"/>
      <c r="G132"/>
      <c r="H132"/>
      <c r="I132"/>
      <c r="J132"/>
      <c r="K132" s="304">
        <v>151.73884257991045</v>
      </c>
      <c r="L132" s="304">
        <v>61.052479788624204</v>
      </c>
      <c r="M132" s="304">
        <v>14.357401390916163</v>
      </c>
      <c r="N132" s="304">
        <v>271.81954263284933</v>
      </c>
      <c r="O132" s="304">
        <v>25.819201738652989</v>
      </c>
      <c r="P132" s="304">
        <v>524.78746813095313</v>
      </c>
      <c r="X132"/>
      <c r="Y132"/>
      <c r="Z132"/>
      <c r="AA132"/>
      <c r="AB132"/>
      <c r="AC132"/>
      <c r="AD132"/>
      <c r="AE132"/>
      <c r="AF132"/>
      <c r="AG132"/>
      <c r="AH132"/>
      <c r="AI132"/>
      <c r="AJ132"/>
    </row>
    <row r="133" spans="1:36" s="108" customFormat="1" outlineLevel="1" x14ac:dyDescent="0.25">
      <c r="B133"/>
      <c r="C133"/>
      <c r="D133"/>
      <c r="E133"/>
      <c r="F133"/>
      <c r="G133"/>
      <c r="H133"/>
      <c r="I133"/>
      <c r="J133"/>
      <c r="K133" s="336">
        <f t="shared" ref="K133:P133" si="79">K132-K95</f>
        <v>0</v>
      </c>
      <c r="L133" s="336">
        <f t="shared" si="79"/>
        <v>0</v>
      </c>
      <c r="M133" s="336">
        <f t="shared" si="79"/>
        <v>0</v>
      </c>
      <c r="N133" s="336">
        <f t="shared" si="79"/>
        <v>0</v>
      </c>
      <c r="O133" s="336">
        <f t="shared" si="79"/>
        <v>0</v>
      </c>
      <c r="P133" s="336">
        <f t="shared" si="79"/>
        <v>0</v>
      </c>
      <c r="X133"/>
      <c r="Y133"/>
      <c r="Z133"/>
      <c r="AA133"/>
      <c r="AB133"/>
      <c r="AC133"/>
      <c r="AD133"/>
      <c r="AE133"/>
      <c r="AF133"/>
      <c r="AG133"/>
      <c r="AH133"/>
      <c r="AI133"/>
      <c r="AJ133"/>
    </row>
    <row r="134" spans="1:36" outlineLevel="1" x14ac:dyDescent="0.25">
      <c r="A134" s="108"/>
    </row>
    <row r="135" spans="1:36" outlineLevel="1" x14ac:dyDescent="0.25">
      <c r="A135" s="108"/>
    </row>
    <row r="136" spans="1:36" outlineLevel="1" x14ac:dyDescent="0.25"/>
    <row r="137" spans="1:36" outlineLevel="1" x14ac:dyDescent="0.25"/>
    <row r="138" spans="1:36" outlineLevel="1" x14ac:dyDescent="0.25"/>
    <row r="139" spans="1:36" outlineLevel="1" x14ac:dyDescent="0.25"/>
  </sheetData>
  <mergeCells count="3">
    <mergeCell ref="G3:I3"/>
    <mergeCell ref="K3:P3"/>
    <mergeCell ref="R3:X3"/>
  </mergeCells>
  <pageMargins left="0.25" right="0.25" top="0.75" bottom="0.75" header="0.3" footer="0.3"/>
  <pageSetup paperSize="9" scale="65" fitToHeight="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B1:AL146"/>
  <sheetViews>
    <sheetView zoomScale="85" zoomScaleNormal="85" workbookViewId="0">
      <pane xSplit="3" ySplit="4" topLeftCell="G5" activePane="bottomRight" state="frozen"/>
      <selection activeCell="K4" sqref="K4:P4"/>
      <selection pane="topRight" activeCell="K4" sqref="K4:P4"/>
      <selection pane="bottomLeft" activeCell="K4" sqref="K4:P4"/>
      <selection pane="bottomRight" activeCell="M5" sqref="M5"/>
    </sheetView>
  </sheetViews>
  <sheetFormatPr defaultRowHeight="15" outlineLevelRow="1" outlineLevelCol="1" x14ac:dyDescent="0.25"/>
  <cols>
    <col min="1" max="1" width="2.28515625" customWidth="1"/>
    <col min="2" max="2" width="3" customWidth="1"/>
    <col min="3" max="3" width="54.28515625" style="23" customWidth="1"/>
    <col min="4" max="4" width="20" hidden="1" customWidth="1" outlineLevel="1"/>
    <col min="5" max="6" width="15.28515625" hidden="1" customWidth="1" outlineLevel="1"/>
    <col min="7" max="7" width="9.28515625" customWidth="1" collapsed="1"/>
    <col min="8" max="8" width="8.7109375" customWidth="1"/>
    <col min="9" max="9" width="10.7109375" customWidth="1"/>
    <col min="10" max="10" width="2.28515625" customWidth="1"/>
    <col min="11" max="11" width="9.7109375" bestFit="1" customWidth="1"/>
    <col min="12" max="12" width="9.5703125" bestFit="1" customWidth="1"/>
    <col min="13" max="13" width="9.42578125" style="108" customWidth="1"/>
    <col min="14" max="14" width="12.28515625" style="108" customWidth="1"/>
    <col min="15" max="15" width="10.42578125" style="108" customWidth="1"/>
    <col min="16" max="16" width="12.140625" style="108" customWidth="1"/>
    <col min="17" max="17" width="9.7109375" style="108" customWidth="1"/>
    <col min="18" max="18" width="9" style="108" customWidth="1"/>
    <col min="19" max="19" width="9.7109375" style="108" customWidth="1"/>
    <col min="20" max="22" width="9" style="108" customWidth="1"/>
    <col min="23" max="23" width="8.85546875" style="108" customWidth="1"/>
    <col min="24" max="24" width="8.85546875" customWidth="1"/>
    <col min="25" max="25" width="9.85546875" customWidth="1"/>
    <col min="26" max="35" width="8.85546875" hidden="1" customWidth="1" outlineLevel="1"/>
    <col min="36" max="36" width="8.85546875" customWidth="1" collapsed="1"/>
  </cols>
  <sheetData>
    <row r="1" spans="2:33" x14ac:dyDescent="0.25">
      <c r="N1" s="452" t="s">
        <v>112</v>
      </c>
      <c r="O1"/>
    </row>
    <row r="2" spans="2:33" x14ac:dyDescent="0.25">
      <c r="B2" s="24" t="str">
        <f>STN_3&amp;" Volumes &amp; Unit Rates"</f>
        <v>BDL Volumes &amp; Unit Rates</v>
      </c>
    </row>
    <row r="3" spans="2:33" x14ac:dyDescent="0.25">
      <c r="B3" s="23" t="str">
        <f>STN_3</f>
        <v>BDL</v>
      </c>
      <c r="G3" s="462" t="s">
        <v>21</v>
      </c>
      <c r="H3" s="463"/>
      <c r="I3" s="464"/>
      <c r="K3" s="462" t="s">
        <v>276</v>
      </c>
      <c r="L3" s="463"/>
      <c r="M3" s="463"/>
      <c r="N3" s="463"/>
      <c r="O3" s="463"/>
      <c r="P3" s="464"/>
      <c r="R3" s="462" t="s">
        <v>277</v>
      </c>
      <c r="S3" s="463"/>
      <c r="T3" s="463"/>
      <c r="U3" s="463"/>
      <c r="V3" s="463"/>
      <c r="W3" s="463"/>
      <c r="X3" s="464"/>
    </row>
    <row r="4" spans="2:33" ht="45" customHeight="1" x14ac:dyDescent="0.25">
      <c r="C4" s="323"/>
      <c r="D4" t="s">
        <v>5</v>
      </c>
      <c r="E4" t="s">
        <v>20</v>
      </c>
      <c r="G4" s="109" t="s">
        <v>278</v>
      </c>
      <c r="H4" s="110" t="s">
        <v>279</v>
      </c>
      <c r="I4" s="111" t="s">
        <v>280</v>
      </c>
      <c r="K4" s="111" t="s">
        <v>21</v>
      </c>
      <c r="L4" s="111" t="s">
        <v>22</v>
      </c>
      <c r="M4" s="109" t="s">
        <v>23</v>
      </c>
      <c r="N4" s="109" t="s">
        <v>24</v>
      </c>
      <c r="O4" s="112" t="s">
        <v>25</v>
      </c>
      <c r="P4" s="112" t="s">
        <v>26</v>
      </c>
      <c r="Q4" s="113" t="s">
        <v>281</v>
      </c>
      <c r="R4" s="114" t="s">
        <v>282</v>
      </c>
      <c r="S4" s="114" t="s">
        <v>82</v>
      </c>
      <c r="T4" s="114" t="s">
        <v>83</v>
      </c>
      <c r="U4" s="114" t="s">
        <v>84</v>
      </c>
      <c r="V4" s="114" t="s">
        <v>283</v>
      </c>
      <c r="W4" s="114" t="s">
        <v>85</v>
      </c>
      <c r="X4" s="115" t="s">
        <v>284</v>
      </c>
      <c r="Y4" s="115" t="s">
        <v>285</v>
      </c>
    </row>
    <row r="5" spans="2:33" x14ac:dyDescent="0.25">
      <c r="B5" s="116" t="s">
        <v>286</v>
      </c>
      <c r="C5" s="324"/>
      <c r="D5" s="117"/>
      <c r="E5" s="117"/>
      <c r="F5" s="117"/>
      <c r="G5" s="118"/>
      <c r="H5" s="110"/>
      <c r="I5" s="111"/>
      <c r="J5" s="117"/>
      <c r="K5" s="111"/>
      <c r="L5" s="111"/>
      <c r="M5" s="112"/>
      <c r="N5" s="109"/>
      <c r="O5" s="112"/>
      <c r="P5" s="112"/>
      <c r="R5" s="353">
        <f>Lab_Rates!$C$6*Escalators!C7*(1+Escalators!C17)*Escalators!$G$32</f>
        <v>162.48739067582716</v>
      </c>
      <c r="S5" s="353">
        <f>Lab_Rates!$C$7*Escalators!C7*(1+Escalators!C17)*Escalators!$G$32</f>
        <v>151.79743076294375</v>
      </c>
      <c r="T5" s="353">
        <f>Lab_Rates!$C$8*Escalators!C7*(1+Escalators!C17)*Escalators!$G$32</f>
        <v>176.38433856257552</v>
      </c>
      <c r="U5" s="353">
        <f>Lab_Rates!$C$9*Escalators!C7*(1+Escalators!C17)*Escalators!$G$32</f>
        <v>229.83413812699234</v>
      </c>
      <c r="V5" s="353">
        <f>Lab_Rates!$C$6*Escalators!C7*(1+Escalators!C17)*Escalators!$G$32</f>
        <v>162.48739067582716</v>
      </c>
      <c r="W5" s="353">
        <f>Lab_Rates!$C$10*Escalators!C7*(1+Escalators!C17)*Escalators!$G$32</f>
        <v>162.48739067582716</v>
      </c>
      <c r="X5" s="353">
        <f>Lab_Rates!$C$5*Escalators!C7*(1+Escalators!C17)*Escalators!$G$32</f>
        <v>133.62449891104205</v>
      </c>
    </row>
    <row r="6" spans="2:33" x14ac:dyDescent="0.25">
      <c r="B6" s="120"/>
      <c r="G6" s="121"/>
      <c r="H6" s="122"/>
      <c r="I6" s="123"/>
      <c r="K6" s="121"/>
      <c r="L6" s="121"/>
      <c r="M6" s="124"/>
      <c r="N6" s="125"/>
      <c r="O6" s="124"/>
      <c r="P6" s="126"/>
      <c r="R6" s="127"/>
      <c r="S6" s="127"/>
      <c r="T6" s="127"/>
      <c r="U6" s="127"/>
      <c r="V6" s="127"/>
      <c r="W6" s="127"/>
      <c r="X6" s="127"/>
    </row>
    <row r="7" spans="2:33" x14ac:dyDescent="0.25">
      <c r="B7" s="84" t="s">
        <v>343</v>
      </c>
      <c r="D7" t="s">
        <v>1</v>
      </c>
      <c r="E7" t="s">
        <v>1</v>
      </c>
      <c r="G7" s="128"/>
      <c r="H7" s="129"/>
      <c r="I7" s="130"/>
      <c r="K7" s="131"/>
      <c r="L7" s="352">
        <f>SUMPRODUCT(R$5:X$5,R7:X7)/Thousands</f>
        <v>0</v>
      </c>
      <c r="M7" s="132">
        <v>900</v>
      </c>
      <c r="N7" s="132"/>
      <c r="O7" s="128"/>
      <c r="P7" s="293">
        <f t="shared" ref="P7" si="0">SUM(K7:O7)</f>
        <v>900</v>
      </c>
      <c r="Q7" s="277"/>
      <c r="R7" s="134">
        <v>0</v>
      </c>
      <c r="S7" s="135"/>
      <c r="T7" s="135"/>
      <c r="U7" s="135"/>
      <c r="V7" s="135"/>
      <c r="W7" s="135"/>
      <c r="X7" s="135"/>
    </row>
    <row r="8" spans="2:33" x14ac:dyDescent="0.25">
      <c r="B8" s="136"/>
      <c r="C8" s="325"/>
      <c r="D8" s="46"/>
      <c r="E8" s="46"/>
      <c r="F8" s="46"/>
      <c r="G8" s="137"/>
      <c r="H8" s="138"/>
      <c r="I8" s="139"/>
      <c r="K8" s="140"/>
      <c r="L8" s="140"/>
      <c r="M8" s="137"/>
      <c r="N8" s="141"/>
      <c r="O8" s="141"/>
      <c r="P8" s="142"/>
      <c r="Q8" s="133"/>
      <c r="R8" s="127"/>
      <c r="S8" s="127"/>
      <c r="T8" s="127"/>
      <c r="U8" s="127"/>
      <c r="V8" s="127"/>
      <c r="W8" s="127"/>
      <c r="X8" s="127"/>
    </row>
    <row r="9" spans="2:33" x14ac:dyDescent="0.25">
      <c r="B9" s="143" t="s">
        <v>288</v>
      </c>
      <c r="C9" s="324"/>
      <c r="D9" s="117"/>
      <c r="E9" s="117"/>
      <c r="F9" s="117"/>
      <c r="G9" s="144"/>
      <c r="H9" s="110"/>
      <c r="I9" s="111"/>
      <c r="K9" s="145"/>
      <c r="L9" s="145"/>
      <c r="M9" s="144"/>
      <c r="N9" s="146"/>
      <c r="O9" s="146"/>
      <c r="P9" s="147"/>
      <c r="R9" s="127"/>
      <c r="S9" s="127"/>
      <c r="T9" s="127"/>
      <c r="U9" s="127"/>
      <c r="V9" s="127"/>
      <c r="W9" s="127"/>
      <c r="X9" s="127"/>
    </row>
    <row r="10" spans="2:33" x14ac:dyDescent="0.25">
      <c r="B10" s="84"/>
      <c r="C10" s="23" t="s">
        <v>289</v>
      </c>
      <c r="D10" t="s">
        <v>1</v>
      </c>
      <c r="E10" t="s">
        <v>1</v>
      </c>
      <c r="G10" s="128"/>
      <c r="H10" s="129"/>
      <c r="I10" s="130"/>
      <c r="K10" s="148"/>
      <c r="L10" s="172">
        <f>SUMPRODUCT(R$5:X$5,R10:X10)/Thousands</f>
        <v>70.51952755330899</v>
      </c>
      <c r="M10" s="150"/>
      <c r="N10" s="351">
        <v>0</v>
      </c>
      <c r="O10" s="151"/>
      <c r="P10" s="293">
        <f>SUM(K10:O10)</f>
        <v>70.51952755330899</v>
      </c>
      <c r="Q10" s="314"/>
      <c r="R10" s="134">
        <v>302</v>
      </c>
      <c r="S10" s="134">
        <v>92</v>
      </c>
      <c r="T10" s="134">
        <v>32</v>
      </c>
      <c r="U10" s="134">
        <v>8</v>
      </c>
      <c r="V10" s="134"/>
      <c r="W10" s="134"/>
      <c r="X10" s="134"/>
      <c r="Y10" s="304">
        <f>SUM(R10:X10)</f>
        <v>434</v>
      </c>
      <c r="AA10" s="6"/>
      <c r="AB10" s="6"/>
      <c r="AC10" s="6"/>
      <c r="AD10" s="6"/>
      <c r="AE10" s="6"/>
      <c r="AF10" s="6"/>
      <c r="AG10" s="6"/>
    </row>
    <row r="11" spans="2:33" x14ac:dyDescent="0.25">
      <c r="B11" s="84"/>
      <c r="C11" s="23" t="s">
        <v>290</v>
      </c>
      <c r="D11" t="s">
        <v>1</v>
      </c>
      <c r="E11" t="s">
        <v>1</v>
      </c>
      <c r="G11" s="128"/>
      <c r="H11" s="129"/>
      <c r="I11" s="130"/>
      <c r="K11" s="148"/>
      <c r="L11" s="172">
        <f>SUMPRODUCT(R$5:X$5,R11:X11)/Thousands</f>
        <v>550.96908587793894</v>
      </c>
      <c r="M11" s="150"/>
      <c r="N11" s="132"/>
      <c r="O11" s="151"/>
      <c r="P11" s="293">
        <f>SUM(K11:O11)</f>
        <v>550.96908587793894</v>
      </c>
      <c r="Q11" s="277"/>
      <c r="R11" s="134">
        <v>192</v>
      </c>
      <c r="S11" s="134"/>
      <c r="T11" s="134">
        <v>1056</v>
      </c>
      <c r="U11" s="134">
        <v>240</v>
      </c>
      <c r="V11" s="134">
        <v>515</v>
      </c>
      <c r="W11" s="134">
        <v>1152</v>
      </c>
      <c r="X11" s="134">
        <v>56</v>
      </c>
      <c r="Y11" s="304">
        <f t="shared" ref="Y11:Y13" si="1">SUM(R11:X11)</f>
        <v>3211</v>
      </c>
      <c r="AA11" s="6"/>
      <c r="AB11" s="6"/>
      <c r="AC11" s="6"/>
      <c r="AD11" s="6"/>
      <c r="AE11" s="6"/>
      <c r="AF11" s="6"/>
      <c r="AG11" s="6"/>
    </row>
    <row r="12" spans="2:33" x14ac:dyDescent="0.25">
      <c r="B12" s="84"/>
      <c r="C12" s="23" t="s">
        <v>291</v>
      </c>
      <c r="D12" t="s">
        <v>1</v>
      </c>
      <c r="E12" t="s">
        <v>1</v>
      </c>
      <c r="G12" s="128"/>
      <c r="H12" s="129"/>
      <c r="I12" s="130"/>
      <c r="K12" s="148"/>
      <c r="L12" s="172">
        <f>SUMPRODUCT(R$5:X$5,R12:X12)/Thousands</f>
        <v>14.110747085006041</v>
      </c>
      <c r="M12" s="150"/>
      <c r="N12" s="351">
        <v>0</v>
      </c>
      <c r="O12" s="151"/>
      <c r="P12" s="293">
        <f>SUM(K12:O12)</f>
        <v>14.110747085006041</v>
      </c>
      <c r="Q12" s="314"/>
      <c r="R12" s="134"/>
      <c r="S12" s="134"/>
      <c r="T12" s="134">
        <v>80</v>
      </c>
      <c r="U12" s="134"/>
      <c r="V12" s="134"/>
      <c r="W12" s="134"/>
      <c r="X12" s="134"/>
      <c r="Y12" s="304">
        <f t="shared" si="1"/>
        <v>80</v>
      </c>
      <c r="AA12" s="6"/>
      <c r="AB12" s="6"/>
      <c r="AC12" s="6"/>
      <c r="AD12" s="6"/>
      <c r="AE12" s="6"/>
      <c r="AF12" s="6"/>
      <c r="AG12" s="6"/>
    </row>
    <row r="13" spans="2:33" x14ac:dyDescent="0.25">
      <c r="B13" s="84"/>
      <c r="C13" s="23" t="s">
        <v>292</v>
      </c>
      <c r="D13" t="s">
        <v>1</v>
      </c>
      <c r="E13" t="s">
        <v>1</v>
      </c>
      <c r="G13" s="128"/>
      <c r="H13" s="129"/>
      <c r="I13" s="130"/>
      <c r="K13" s="148"/>
      <c r="L13" s="172">
        <v>60</v>
      </c>
      <c r="M13" s="150"/>
      <c r="N13" s="351">
        <v>0</v>
      </c>
      <c r="O13" s="151"/>
      <c r="P13" s="293">
        <f>SUM(K13:O13)</f>
        <v>60</v>
      </c>
      <c r="Q13" s="277"/>
      <c r="R13" s="134"/>
      <c r="S13" s="134"/>
      <c r="T13" s="134"/>
      <c r="U13" s="134"/>
      <c r="V13" s="134"/>
      <c r="W13" s="134"/>
      <c r="X13" s="134"/>
      <c r="Y13" s="304">
        <f t="shared" si="1"/>
        <v>0</v>
      </c>
      <c r="AA13" s="6"/>
      <c r="AB13" s="6"/>
      <c r="AC13" s="6"/>
      <c r="AD13" s="6"/>
      <c r="AE13" s="6"/>
      <c r="AF13" s="6"/>
      <c r="AG13" s="6"/>
    </row>
    <row r="14" spans="2:33" x14ac:dyDescent="0.25">
      <c r="B14" s="136"/>
      <c r="C14" s="325"/>
      <c r="D14" s="46"/>
      <c r="E14" s="46"/>
      <c r="F14" s="46"/>
      <c r="G14" s="140"/>
      <c r="H14" s="138"/>
      <c r="I14" s="139"/>
      <c r="K14" s="154"/>
      <c r="L14" s="155"/>
      <c r="M14" s="155"/>
      <c r="N14" s="156"/>
      <c r="O14" s="155"/>
      <c r="P14" s="157"/>
      <c r="R14" s="127"/>
      <c r="S14" s="127"/>
      <c r="T14" s="127"/>
      <c r="U14" s="127"/>
      <c r="V14" s="127"/>
      <c r="W14" s="127"/>
      <c r="X14" s="127"/>
    </row>
    <row r="15" spans="2:33" x14ac:dyDescent="0.25">
      <c r="B15" s="143" t="s">
        <v>293</v>
      </c>
      <c r="C15" s="324"/>
      <c r="D15" s="117"/>
      <c r="E15" s="117"/>
      <c r="F15" s="117"/>
      <c r="G15" s="158"/>
      <c r="H15" s="116"/>
      <c r="I15" s="159"/>
      <c r="K15" s="160"/>
      <c r="L15" s="160"/>
      <c r="M15" s="161"/>
      <c r="N15" s="161"/>
      <c r="O15" s="161"/>
      <c r="P15" s="162"/>
      <c r="Q15" s="163"/>
      <c r="R15" s="164"/>
      <c r="S15" s="127"/>
      <c r="T15" s="127"/>
      <c r="U15" s="127"/>
      <c r="V15" s="127"/>
      <c r="W15" s="127"/>
      <c r="X15" s="127"/>
      <c r="AA15" s="5"/>
      <c r="AB15" s="5"/>
      <c r="AC15" s="5"/>
      <c r="AD15" s="5"/>
      <c r="AE15" s="5"/>
      <c r="AF15" s="5"/>
      <c r="AG15" s="5"/>
    </row>
    <row r="16" spans="2:33" x14ac:dyDescent="0.25">
      <c r="B16" s="120" t="s">
        <v>114</v>
      </c>
      <c r="G16" s="166"/>
      <c r="H16" s="84"/>
      <c r="I16" s="167"/>
      <c r="J16" s="165"/>
      <c r="K16" s="149"/>
      <c r="L16" s="149"/>
      <c r="M16" s="168"/>
      <c r="N16" s="168"/>
      <c r="O16" s="168"/>
      <c r="P16" s="169"/>
      <c r="R16" s="127"/>
      <c r="S16" s="127"/>
      <c r="T16" s="127"/>
      <c r="U16" s="127"/>
      <c r="V16" s="127"/>
      <c r="W16" s="127"/>
      <c r="X16" s="127"/>
      <c r="AA16" s="5"/>
      <c r="AB16" s="5"/>
      <c r="AC16" s="5"/>
      <c r="AD16" s="5"/>
      <c r="AE16" s="5"/>
      <c r="AF16" s="5"/>
      <c r="AG16" s="5"/>
    </row>
    <row r="17" spans="2:38" x14ac:dyDescent="0.25">
      <c r="B17" s="84"/>
      <c r="C17" s="23" t="s">
        <v>353</v>
      </c>
      <c r="D17" s="23" t="str">
        <f>INDEX(Unit_Rates!$C$7:$K$113,MATCH($C17,Unit_Rates!$C$7:$C$113,0),5)</f>
        <v>Subtransmission</v>
      </c>
      <c r="E17" s="23" t="str">
        <f>INDEX(Unit_Rates!$C$7:$K$113,MATCH($C17,Unit_Rates!$C$7:$C$113,0),6)</f>
        <v>Augmentation</v>
      </c>
      <c r="F17" s="23" t="str">
        <f>D17&amp;E17</f>
        <v>SubtransmissionAugmentation</v>
      </c>
      <c r="G17" s="170">
        <f>INDEX(Unit_Rates!$C$7:$K$113,MATCH($C17,Unit_Rates!$C$7:$C$113,0),7)</f>
        <v>185.47500200000002</v>
      </c>
      <c r="H17" s="171"/>
      <c r="I17" s="123" t="s">
        <v>294</v>
      </c>
      <c r="J17" s="165"/>
      <c r="K17" s="172">
        <f t="shared" ref="K17:K27" si="2">G17*$H17</f>
        <v>0</v>
      </c>
      <c r="L17" s="173">
        <f t="shared" ref="L17:L56" si="3">SUMPRODUCT(R$5:X$5,R17:X17)/Thousands</f>
        <v>0</v>
      </c>
      <c r="M17" s="174"/>
      <c r="N17" s="448"/>
      <c r="O17" s="448"/>
      <c r="P17" s="449"/>
      <c r="Q17" s="314">
        <f>P17-H17*VLOOKUP(C17,Unit_Rates!$C$7:$E$113,3,FALSE)</f>
        <v>0</v>
      </c>
      <c r="R17" s="134">
        <v>0</v>
      </c>
      <c r="S17" s="134">
        <v>0</v>
      </c>
      <c r="T17" s="134">
        <v>0</v>
      </c>
      <c r="U17" s="134">
        <v>0</v>
      </c>
      <c r="V17" s="134">
        <v>0</v>
      </c>
      <c r="W17" s="134">
        <v>0</v>
      </c>
      <c r="X17" s="134">
        <v>0</v>
      </c>
      <c r="Y17" s="304">
        <f t="shared" ref="Y17:Y57" si="4">SUM(R17:X17)</f>
        <v>0</v>
      </c>
      <c r="AA17" s="5"/>
      <c r="AB17" s="5"/>
      <c r="AC17" s="5"/>
      <c r="AD17" s="5"/>
      <c r="AE17" s="5"/>
      <c r="AF17" s="5"/>
      <c r="AG17" s="5"/>
    </row>
    <row r="18" spans="2:38" x14ac:dyDescent="0.25">
      <c r="B18" s="84"/>
      <c r="C18" s="23" t="s">
        <v>354</v>
      </c>
      <c r="D18" s="23" t="str">
        <f>INDEX(Unit_Rates!$C$7:$K$113,MATCH($C18,Unit_Rates!$C$7:$C$113,0),5)</f>
        <v>Subtransmission</v>
      </c>
      <c r="E18" s="23" t="str">
        <f>INDEX(Unit_Rates!$C$7:$K$113,MATCH($C18,Unit_Rates!$C$7:$C$113,0),6)</f>
        <v>Augmentation</v>
      </c>
      <c r="F18" s="23" t="str">
        <f t="shared" ref="F18:F56" si="5">D18&amp;E18</f>
        <v>SubtransmissionAugmentation</v>
      </c>
      <c r="G18" s="170">
        <f>INDEX(Unit_Rates!$C$7:$K$113,MATCH($C18,Unit_Rates!$C$7:$C$113,0),7)</f>
        <v>74.154499800000011</v>
      </c>
      <c r="H18" s="171"/>
      <c r="I18" s="123" t="s">
        <v>294</v>
      </c>
      <c r="J18" s="165"/>
      <c r="K18" s="172">
        <f t="shared" si="2"/>
        <v>0</v>
      </c>
      <c r="L18" s="173">
        <f t="shared" si="3"/>
        <v>0</v>
      </c>
      <c r="M18" s="174"/>
      <c r="N18" s="448"/>
      <c r="O18" s="448"/>
      <c r="P18" s="449"/>
      <c r="Q18" s="314">
        <f>P18-H18*VLOOKUP(C18,Unit_Rates!$C$7:$E$113,3,FALSE)</f>
        <v>0</v>
      </c>
      <c r="R18" s="134">
        <v>0</v>
      </c>
      <c r="S18" s="134">
        <v>0</v>
      </c>
      <c r="T18" s="134">
        <v>0</v>
      </c>
      <c r="U18" s="134">
        <v>0</v>
      </c>
      <c r="V18" s="134">
        <v>0</v>
      </c>
      <c r="W18" s="134">
        <v>0</v>
      </c>
      <c r="X18" s="134">
        <v>0</v>
      </c>
      <c r="Y18" s="304">
        <f t="shared" si="4"/>
        <v>0</v>
      </c>
      <c r="AA18" s="5"/>
      <c r="AB18" s="5"/>
      <c r="AC18" s="5"/>
      <c r="AD18" s="5"/>
      <c r="AE18" s="5"/>
      <c r="AF18" s="5"/>
      <c r="AG18" s="5"/>
    </row>
    <row r="19" spans="2:38" x14ac:dyDescent="0.25">
      <c r="B19" s="84"/>
      <c r="C19" s="23" t="s">
        <v>355</v>
      </c>
      <c r="D19" s="23" t="str">
        <f>INDEX(Unit_Rates!$C$7:$K$113,MATCH($C19,Unit_Rates!$C$7:$C$113,0),5)</f>
        <v>Subtransmission</v>
      </c>
      <c r="E19" s="23" t="str">
        <f>INDEX(Unit_Rates!$C$7:$K$113,MATCH($C19,Unit_Rates!$C$7:$C$113,0),6)</f>
        <v>Augmentation</v>
      </c>
      <c r="F19" s="23" t="str">
        <f t="shared" si="5"/>
        <v>SubtransmissionAugmentation</v>
      </c>
      <c r="G19" s="170">
        <f>INDEX(Unit_Rates!$C$7:$K$113,MATCH($C19,Unit_Rates!$C$7:$C$113,0),7)</f>
        <v>37.493999250000002</v>
      </c>
      <c r="H19" s="171"/>
      <c r="I19" s="123" t="s">
        <v>294</v>
      </c>
      <c r="J19" s="165"/>
      <c r="K19" s="172">
        <f t="shared" si="2"/>
        <v>0</v>
      </c>
      <c r="L19" s="173">
        <f t="shared" si="3"/>
        <v>0</v>
      </c>
      <c r="M19" s="174"/>
      <c r="N19" s="448"/>
      <c r="O19" s="448"/>
      <c r="P19" s="449"/>
      <c r="Q19" s="314">
        <f>P19-H19*VLOOKUP(C19,Unit_Rates!$C$7:$E$113,3,FALSE)</f>
        <v>0</v>
      </c>
      <c r="R19" s="134">
        <v>0</v>
      </c>
      <c r="S19" s="134">
        <v>0</v>
      </c>
      <c r="T19" s="134">
        <v>0</v>
      </c>
      <c r="U19" s="134">
        <v>0</v>
      </c>
      <c r="V19" s="134">
        <v>0</v>
      </c>
      <c r="W19" s="134">
        <v>0</v>
      </c>
      <c r="X19" s="134">
        <v>0</v>
      </c>
      <c r="Y19" s="304">
        <f t="shared" si="4"/>
        <v>0</v>
      </c>
      <c r="AA19" s="5"/>
      <c r="AB19" s="5"/>
      <c r="AC19" s="5"/>
      <c r="AD19" s="5"/>
      <c r="AE19" s="5"/>
      <c r="AF19" s="5"/>
      <c r="AG19" s="5"/>
    </row>
    <row r="20" spans="2:38" x14ac:dyDescent="0.25">
      <c r="B20" s="84"/>
      <c r="C20" s="23" t="s">
        <v>340</v>
      </c>
      <c r="D20" s="23" t="str">
        <f>INDEX(Unit_Rates!$C$7:$K$113,MATCH($C20,Unit_Rates!$C$7:$C$113,0),5)</f>
        <v>Subtransmission</v>
      </c>
      <c r="E20" s="23" t="str">
        <f>INDEX(Unit_Rates!$C$7:$K$113,MATCH($C20,Unit_Rates!$C$7:$C$113,0),6)</f>
        <v>Augmentation</v>
      </c>
      <c r="F20" s="23" t="str">
        <f t="shared" si="5"/>
        <v>SubtransmissionAugmentation</v>
      </c>
      <c r="G20" s="170">
        <f>INDEX(Unit_Rates!$C$7:$K$113,MATCH($C20,Unit_Rates!$C$7:$C$113,0),7)</f>
        <v>787.07449999999994</v>
      </c>
      <c r="H20" s="171"/>
      <c r="I20" s="123" t="s">
        <v>294</v>
      </c>
      <c r="J20" s="165"/>
      <c r="K20" s="172">
        <f t="shared" si="2"/>
        <v>0</v>
      </c>
      <c r="L20" s="173">
        <f t="shared" si="3"/>
        <v>0</v>
      </c>
      <c r="M20" s="174"/>
      <c r="N20" s="448"/>
      <c r="O20" s="448"/>
      <c r="P20" s="449"/>
      <c r="Q20" s="314">
        <f>P20-H20*VLOOKUP(C20,Unit_Rates!$C$7:$E$113,3,FALSE)</f>
        <v>0</v>
      </c>
      <c r="R20" s="134">
        <v>0</v>
      </c>
      <c r="S20" s="134">
        <v>0</v>
      </c>
      <c r="T20" s="134">
        <v>0</v>
      </c>
      <c r="U20" s="134">
        <v>0</v>
      </c>
      <c r="V20" s="134">
        <v>0</v>
      </c>
      <c r="W20" s="134">
        <v>0</v>
      </c>
      <c r="X20" s="134">
        <v>0</v>
      </c>
      <c r="Y20" s="304">
        <f t="shared" si="4"/>
        <v>0</v>
      </c>
      <c r="AA20" s="5"/>
      <c r="AB20" s="5"/>
      <c r="AC20" s="5"/>
      <c r="AD20" s="5"/>
      <c r="AE20" s="5"/>
      <c r="AF20" s="5"/>
      <c r="AG20" s="5"/>
      <c r="AK20" s="358"/>
      <c r="AL20" s="358"/>
    </row>
    <row r="21" spans="2:38" x14ac:dyDescent="0.25">
      <c r="B21" s="84"/>
      <c r="C21" s="23" t="s">
        <v>419</v>
      </c>
      <c r="D21" s="23" t="str">
        <f>INDEX(Unit_Rates!$C$7:$K$113,MATCH($C21,Unit_Rates!$C$7:$C$113,0),5)</f>
        <v>Subtransmission</v>
      </c>
      <c r="E21" s="23" t="str">
        <f>INDEX(Unit_Rates!$C$7:$K$113,MATCH($C21,Unit_Rates!$C$7:$C$113,0),6)</f>
        <v>Augmentation</v>
      </c>
      <c r="F21" s="23" t="str">
        <f t="shared" ref="F21:F22" si="6">D21&amp;E21</f>
        <v>SubtransmissionAugmentation</v>
      </c>
      <c r="G21" s="170">
        <f>INDEX(Unit_Rates!$C$7:$K$113,MATCH($C21,Unit_Rates!$C$7:$C$113,0),7)</f>
        <v>1126.5675100000001</v>
      </c>
      <c r="H21" s="171">
        <v>2</v>
      </c>
      <c r="I21" s="123" t="s">
        <v>294</v>
      </c>
      <c r="J21" s="165"/>
      <c r="K21" s="172">
        <f t="shared" ref="K21:K22" si="7">G21*$H21</f>
        <v>2253.1350200000002</v>
      </c>
      <c r="L21" s="173">
        <f t="shared" ref="L21:L22" si="8">SUMPRODUCT(R$5:X$5,R21:X21)/Thousands</f>
        <v>0</v>
      </c>
      <c r="M21" s="174"/>
      <c r="N21" s="448"/>
      <c r="O21" s="448"/>
      <c r="P21" s="449"/>
      <c r="Q21" s="314">
        <f>P21-H21*VLOOKUP(C21,Unit_Rates!$C$7:$E$113,3,FALSE)</f>
        <v>0</v>
      </c>
      <c r="R21" s="134">
        <v>0</v>
      </c>
      <c r="S21" s="134">
        <v>0</v>
      </c>
      <c r="T21" s="134">
        <v>0</v>
      </c>
      <c r="U21" s="134">
        <v>0</v>
      </c>
      <c r="V21" s="134">
        <v>0</v>
      </c>
      <c r="W21" s="134">
        <v>0</v>
      </c>
      <c r="X21" s="134">
        <v>0</v>
      </c>
      <c r="Y21" s="304">
        <f t="shared" si="4"/>
        <v>0</v>
      </c>
      <c r="AA21" s="5"/>
      <c r="AB21" s="5"/>
      <c r="AC21" s="5"/>
      <c r="AD21" s="5"/>
      <c r="AE21" s="5"/>
      <c r="AF21" s="5"/>
      <c r="AG21" s="5"/>
      <c r="AK21" s="358"/>
      <c r="AL21" s="358"/>
    </row>
    <row r="22" spans="2:38" x14ac:dyDescent="0.25">
      <c r="B22" s="84"/>
      <c r="C22" s="23" t="s">
        <v>418</v>
      </c>
      <c r="D22" s="23" t="str">
        <f>INDEX(Unit_Rates!$C$7:$K$113,MATCH($C22,Unit_Rates!$C$7:$C$113,0),5)</f>
        <v>Subtransmission</v>
      </c>
      <c r="E22" s="23" t="str">
        <f>INDEX(Unit_Rates!$C$7:$K$113,MATCH($C22,Unit_Rates!$C$7:$C$113,0),6)</f>
        <v>Augmentation</v>
      </c>
      <c r="F22" s="23" t="str">
        <f t="shared" si="6"/>
        <v>SubtransmissionAugmentation</v>
      </c>
      <c r="G22" s="170">
        <f>INDEX(Unit_Rates!$C$7:$K$113,MATCH($C22,Unit_Rates!$C$7:$C$113,0),7)</f>
        <v>0</v>
      </c>
      <c r="H22" s="171">
        <v>3</v>
      </c>
      <c r="I22" s="123" t="s">
        <v>294</v>
      </c>
      <c r="J22" s="165"/>
      <c r="K22" s="172">
        <f t="shared" si="7"/>
        <v>0</v>
      </c>
      <c r="L22" s="173">
        <f t="shared" si="8"/>
        <v>0</v>
      </c>
      <c r="M22" s="174"/>
      <c r="N22" s="448"/>
      <c r="O22" s="448"/>
      <c r="P22" s="449"/>
      <c r="Q22" s="314">
        <f>P22-H22*VLOOKUP(C22,Unit_Rates!$C$7:$E$113,3,FALSE)</f>
        <v>0</v>
      </c>
      <c r="R22" s="134">
        <v>0</v>
      </c>
      <c r="S22" s="134">
        <v>0</v>
      </c>
      <c r="T22" s="134">
        <v>0</v>
      </c>
      <c r="U22" s="134">
        <v>0</v>
      </c>
      <c r="V22" s="134">
        <v>0</v>
      </c>
      <c r="W22" s="134">
        <v>0</v>
      </c>
      <c r="X22" s="134">
        <v>0</v>
      </c>
      <c r="Y22" s="304">
        <f t="shared" si="4"/>
        <v>0</v>
      </c>
      <c r="AA22" s="5"/>
      <c r="AB22" s="5"/>
      <c r="AC22" s="5"/>
      <c r="AD22" s="5"/>
      <c r="AE22" s="5"/>
      <c r="AF22" s="5"/>
      <c r="AG22" s="5"/>
      <c r="AK22" s="358"/>
      <c r="AL22" s="358"/>
    </row>
    <row r="23" spans="2:38" x14ac:dyDescent="0.25">
      <c r="B23" s="84"/>
      <c r="C23" s="23" t="s">
        <v>352</v>
      </c>
      <c r="D23" s="23" t="str">
        <f>INDEX(Unit_Rates!$C$7:$K$113,MATCH($C23,Unit_Rates!$C$7:$C$113,0),5)</f>
        <v>Subtransmission</v>
      </c>
      <c r="E23" s="23" t="str">
        <f>INDEX(Unit_Rates!$C$7:$K$113,MATCH($C23,Unit_Rates!$C$7:$C$113,0),6)</f>
        <v>Augmentation</v>
      </c>
      <c r="F23" s="23" t="str">
        <f t="shared" si="5"/>
        <v>SubtransmissionAugmentation</v>
      </c>
      <c r="G23" s="170">
        <f>INDEX(Unit_Rates!$C$7:$K$113,MATCH($C23,Unit_Rates!$C$7:$C$113,0),7)</f>
        <v>41.255909799999998</v>
      </c>
      <c r="H23" s="171"/>
      <c r="I23" s="123" t="s">
        <v>294</v>
      </c>
      <c r="J23" s="165"/>
      <c r="K23" s="172">
        <f t="shared" si="2"/>
        <v>0</v>
      </c>
      <c r="L23" s="173">
        <f t="shared" si="3"/>
        <v>0</v>
      </c>
      <c r="M23" s="174"/>
      <c r="N23" s="448"/>
      <c r="O23" s="448"/>
      <c r="P23" s="449"/>
      <c r="Q23" s="314">
        <f>P23-H23*VLOOKUP(C23,Unit_Rates!$C$7:$E$113,3,FALSE)</f>
        <v>0</v>
      </c>
      <c r="R23" s="134">
        <v>0</v>
      </c>
      <c r="S23" s="134">
        <v>0</v>
      </c>
      <c r="T23" s="134">
        <v>0</v>
      </c>
      <c r="U23" s="134">
        <v>0</v>
      </c>
      <c r="V23" s="134">
        <v>0</v>
      </c>
      <c r="W23" s="134">
        <v>0</v>
      </c>
      <c r="X23" s="134">
        <v>0</v>
      </c>
      <c r="Y23" s="304">
        <f t="shared" si="4"/>
        <v>0</v>
      </c>
      <c r="AA23" s="5"/>
      <c r="AB23" s="5"/>
      <c r="AC23" s="5"/>
      <c r="AD23" s="5"/>
      <c r="AE23" s="5"/>
      <c r="AF23" s="5"/>
      <c r="AG23" s="5"/>
      <c r="AK23" s="358"/>
      <c r="AL23" s="358"/>
    </row>
    <row r="24" spans="2:38" x14ac:dyDescent="0.25">
      <c r="B24" s="84"/>
      <c r="C24" s="23" t="s">
        <v>342</v>
      </c>
      <c r="D24" s="23" t="str">
        <f>INDEX(Unit_Rates!$C$7:$K$113,MATCH($C24,Unit_Rates!$C$7:$C$113,0),5)</f>
        <v>Subtransmission</v>
      </c>
      <c r="E24" s="23" t="str">
        <f>INDEX(Unit_Rates!$C$7:$K$113,MATCH($C24,Unit_Rates!$C$7:$C$113,0),6)</f>
        <v>Augmentation</v>
      </c>
      <c r="F24" s="23" t="str">
        <f t="shared" si="5"/>
        <v>SubtransmissionAugmentation</v>
      </c>
      <c r="G24" s="170">
        <f>INDEX(Unit_Rates!$C$7:$K$113,MATCH($C24,Unit_Rates!$C$7:$C$113,0),7)</f>
        <v>106.81319599999999</v>
      </c>
      <c r="H24" s="171"/>
      <c r="I24" s="123" t="s">
        <v>294</v>
      </c>
      <c r="J24" s="165"/>
      <c r="K24" s="172">
        <f t="shared" si="2"/>
        <v>0</v>
      </c>
      <c r="L24" s="173">
        <f t="shared" si="3"/>
        <v>0</v>
      </c>
      <c r="M24" s="174"/>
      <c r="N24" s="448"/>
      <c r="O24" s="448"/>
      <c r="P24" s="449"/>
      <c r="Q24" s="314">
        <f>P24-H24*VLOOKUP(C24,Unit_Rates!$C$7:$E$113,3,FALSE)</f>
        <v>0</v>
      </c>
      <c r="R24" s="134">
        <v>0</v>
      </c>
      <c r="S24" s="134">
        <v>0</v>
      </c>
      <c r="T24" s="134">
        <v>0</v>
      </c>
      <c r="U24" s="134">
        <v>0</v>
      </c>
      <c r="V24" s="134">
        <v>0</v>
      </c>
      <c r="W24" s="134">
        <v>0</v>
      </c>
      <c r="X24" s="134">
        <v>0</v>
      </c>
      <c r="Y24" s="304">
        <f t="shared" si="4"/>
        <v>0</v>
      </c>
      <c r="AA24" s="5"/>
      <c r="AB24" s="5"/>
      <c r="AC24" s="5"/>
      <c r="AD24" s="5"/>
      <c r="AE24" s="5"/>
      <c r="AF24" s="5"/>
      <c r="AG24" s="5"/>
      <c r="AK24" s="358"/>
      <c r="AL24" s="358"/>
    </row>
    <row r="25" spans="2:38" x14ac:dyDescent="0.25">
      <c r="B25" s="84"/>
      <c r="C25" s="23" t="s">
        <v>357</v>
      </c>
      <c r="D25" s="23" t="str">
        <f>INDEX(Unit_Rates!$C$7:$K$113,MATCH($C25,Unit_Rates!$C$7:$C$113,0),5)</f>
        <v>Subtransmission</v>
      </c>
      <c r="E25" s="23" t="str">
        <f>INDEX(Unit_Rates!$C$7:$K$113,MATCH($C25,Unit_Rates!$C$7:$C$113,0),6)</f>
        <v>Augmentation</v>
      </c>
      <c r="F25" s="23" t="str">
        <f t="shared" si="5"/>
        <v>SubtransmissionAugmentation</v>
      </c>
      <c r="G25" s="170">
        <f>INDEX(Unit_Rates!$C$7:$K$113,MATCH($C25,Unit_Rates!$C$7:$C$113,0),7)</f>
        <v>58.265687</v>
      </c>
      <c r="H25" s="171"/>
      <c r="I25" s="123" t="s">
        <v>294</v>
      </c>
      <c r="J25" s="165"/>
      <c r="K25" s="172">
        <f t="shared" si="2"/>
        <v>0</v>
      </c>
      <c r="L25" s="173">
        <f t="shared" si="3"/>
        <v>0</v>
      </c>
      <c r="M25" s="174"/>
      <c r="N25" s="448"/>
      <c r="O25" s="448"/>
      <c r="P25" s="449"/>
      <c r="Q25" s="314">
        <f>P25-H25*VLOOKUP(C25,Unit_Rates!$C$7:$E$113,3,FALSE)</f>
        <v>0</v>
      </c>
      <c r="R25" s="134">
        <v>0</v>
      </c>
      <c r="S25" s="134">
        <v>0</v>
      </c>
      <c r="T25" s="134">
        <v>0</v>
      </c>
      <c r="U25" s="134">
        <v>0</v>
      </c>
      <c r="V25" s="134">
        <v>0</v>
      </c>
      <c r="W25" s="134">
        <v>0</v>
      </c>
      <c r="X25" s="134">
        <v>0</v>
      </c>
      <c r="Y25" s="304">
        <f t="shared" si="4"/>
        <v>0</v>
      </c>
      <c r="AK25" s="358"/>
      <c r="AL25" s="358"/>
    </row>
    <row r="26" spans="2:38" x14ac:dyDescent="0.25">
      <c r="B26" s="84"/>
      <c r="C26" s="23" t="s">
        <v>416</v>
      </c>
      <c r="D26" s="23" t="str">
        <f>INDEX(Unit_Rates!$C$7:$K$113,MATCH($C26,Unit_Rates!$C$7:$C$113,0),5)</f>
        <v>Subtransmission</v>
      </c>
      <c r="E26" s="23" t="str">
        <f>INDEX(Unit_Rates!$C$7:$K$113,MATCH($C26,Unit_Rates!$C$7:$C$113,0),6)</f>
        <v>Augmentation</v>
      </c>
      <c r="F26" s="23" t="str">
        <f t="shared" ref="F26" si="9">D26&amp;E26</f>
        <v>SubtransmissionAugmentation</v>
      </c>
      <c r="G26" s="170">
        <f>INDEX(Unit_Rates!$C$7:$K$113,MATCH($C26,Unit_Rates!$C$7:$C$113,0),7)</f>
        <v>169.007993</v>
      </c>
      <c r="H26" s="171">
        <v>2</v>
      </c>
      <c r="I26" s="175" t="s">
        <v>294</v>
      </c>
      <c r="J26" s="176"/>
      <c r="K26" s="177">
        <f>G26*$H26</f>
        <v>338.015986</v>
      </c>
      <c r="L26" s="177">
        <f>SUMPRODUCT(R$5:X$5,R26:X26)/Thousands</f>
        <v>0</v>
      </c>
      <c r="M26" s="178"/>
      <c r="N26" s="448"/>
      <c r="O26" s="448"/>
      <c r="P26" s="450"/>
      <c r="Q26" s="314">
        <f>P26-H26*VLOOKUP(C26,Unit_Rates!$C$7:$E$113,3,FALSE)</f>
        <v>0</v>
      </c>
      <c r="R26" s="134">
        <v>0</v>
      </c>
      <c r="S26" s="134">
        <v>0</v>
      </c>
      <c r="T26" s="134">
        <v>0</v>
      </c>
      <c r="U26" s="134">
        <v>0</v>
      </c>
      <c r="V26" s="134">
        <v>0</v>
      </c>
      <c r="W26" s="134">
        <v>0</v>
      </c>
      <c r="X26" s="134">
        <v>0</v>
      </c>
      <c r="Y26" s="304">
        <f t="shared" ref="Y26" si="10">SUM(R26:X26)</f>
        <v>0</v>
      </c>
      <c r="AA26" s="5"/>
      <c r="AB26" s="5"/>
      <c r="AC26" s="5"/>
      <c r="AD26" s="5"/>
      <c r="AE26" s="5"/>
      <c r="AF26" s="5"/>
      <c r="AG26" s="5"/>
      <c r="AK26" s="358"/>
      <c r="AL26" s="358"/>
    </row>
    <row r="27" spans="2:38" x14ac:dyDescent="0.25">
      <c r="B27" s="84"/>
      <c r="C27" s="23" t="s">
        <v>122</v>
      </c>
      <c r="D27" s="23" t="str">
        <f>INDEX(Unit_Rates!$C$7:$K$113,MATCH($C27,Unit_Rates!$C$7:$C$113,0),5)</f>
        <v>Subtransmission</v>
      </c>
      <c r="E27" s="23" t="str">
        <f>INDEX(Unit_Rates!$C$7:$K$113,MATCH($C27,Unit_Rates!$C$7:$C$113,0),6)</f>
        <v>Augmentation</v>
      </c>
      <c r="F27" s="23" t="str">
        <f t="shared" si="5"/>
        <v>SubtransmissionAugmentation</v>
      </c>
      <c r="G27" s="170">
        <f>INDEX(Unit_Rates!$C$7:$K$113,MATCH($C27,Unit_Rates!$C$7:$C$113,0),7)</f>
        <v>72.618999999999986</v>
      </c>
      <c r="H27" s="171"/>
      <c r="I27" s="175" t="s">
        <v>294</v>
      </c>
      <c r="J27" s="176"/>
      <c r="K27" s="177">
        <f t="shared" si="2"/>
        <v>0</v>
      </c>
      <c r="L27" s="177">
        <f t="shared" si="3"/>
        <v>0</v>
      </c>
      <c r="M27" s="178"/>
      <c r="N27" s="448"/>
      <c r="O27" s="448"/>
      <c r="P27" s="450"/>
      <c r="Q27" s="314">
        <f>P27-H27*VLOOKUP(C27,Unit_Rates!$C$7:$E$113,3,FALSE)</f>
        <v>0</v>
      </c>
      <c r="R27" s="134">
        <v>0</v>
      </c>
      <c r="S27" s="134">
        <v>0</v>
      </c>
      <c r="T27" s="134">
        <v>0</v>
      </c>
      <c r="U27" s="134">
        <v>0</v>
      </c>
      <c r="V27" s="134">
        <v>0</v>
      </c>
      <c r="W27" s="134">
        <v>0</v>
      </c>
      <c r="X27" s="134">
        <v>0</v>
      </c>
      <c r="Y27" s="304">
        <f t="shared" si="4"/>
        <v>0</v>
      </c>
      <c r="AA27" s="5"/>
      <c r="AB27" s="5"/>
      <c r="AC27" s="5"/>
      <c r="AD27" s="5"/>
      <c r="AE27" s="5"/>
      <c r="AF27" s="5"/>
      <c r="AG27" s="5"/>
      <c r="AK27" s="358"/>
      <c r="AL27" s="358"/>
    </row>
    <row r="28" spans="2:38" x14ac:dyDescent="0.25">
      <c r="B28" s="84"/>
      <c r="C28" s="23" t="s">
        <v>128</v>
      </c>
      <c r="D28" s="23" t="str">
        <f>INDEX(Unit_Rates!$C$7:$K$113,MATCH($C28,Unit_Rates!$C$7:$C$113,0),5)</f>
        <v>Subtransmission</v>
      </c>
      <c r="E28" s="23" t="str">
        <f>INDEX(Unit_Rates!$C$7:$K$113,MATCH($C28,Unit_Rates!$C$7:$C$113,0),6)</f>
        <v>Augmentation</v>
      </c>
      <c r="F28" s="23" t="str">
        <f t="shared" si="5"/>
        <v>SubtransmissionAugmentation</v>
      </c>
      <c r="G28" s="170">
        <f>INDEX(Unit_Rates!$C$7:$K$113,MATCH($C28,Unit_Rates!$C$7:$C$113,0),7)</f>
        <v>39.294999999999995</v>
      </c>
      <c r="H28" s="171"/>
      <c r="I28" s="123" t="s">
        <v>294</v>
      </c>
      <c r="J28" s="165"/>
      <c r="K28" s="172">
        <f>G28*H28</f>
        <v>0</v>
      </c>
      <c r="L28" s="173">
        <f t="shared" si="3"/>
        <v>0</v>
      </c>
      <c r="M28" s="174"/>
      <c r="N28" s="448"/>
      <c r="O28" s="448"/>
      <c r="P28" s="449"/>
      <c r="Q28" s="314">
        <f>P28-H28*VLOOKUP(C28,Unit_Rates!$C$7:$E$113,3,FALSE)</f>
        <v>0</v>
      </c>
      <c r="R28" s="134">
        <v>0</v>
      </c>
      <c r="S28" s="134">
        <v>0</v>
      </c>
      <c r="T28" s="134">
        <v>0</v>
      </c>
      <c r="U28" s="134">
        <v>0</v>
      </c>
      <c r="V28" s="134">
        <v>0</v>
      </c>
      <c r="W28" s="134">
        <v>0</v>
      </c>
      <c r="X28" s="134">
        <v>0</v>
      </c>
      <c r="Y28" s="304">
        <f t="shared" si="4"/>
        <v>0</v>
      </c>
      <c r="AA28" s="5"/>
      <c r="AB28" s="5"/>
      <c r="AC28" s="5"/>
      <c r="AD28" s="5"/>
      <c r="AE28" s="5"/>
      <c r="AF28" s="5"/>
      <c r="AG28" s="5"/>
      <c r="AK28" s="358"/>
      <c r="AL28" s="358"/>
    </row>
    <row r="29" spans="2:38" x14ac:dyDescent="0.25">
      <c r="B29" s="84"/>
      <c r="C29" s="23" t="s">
        <v>132</v>
      </c>
      <c r="D29" s="23" t="str">
        <f>INDEX(Unit_Rates!$C$7:$K$113,MATCH($C29,Unit_Rates!$C$7:$C$113,0),5)</f>
        <v>Subtransmission</v>
      </c>
      <c r="E29" s="23" t="str">
        <f>INDEX(Unit_Rates!$C$7:$K$113,MATCH($C29,Unit_Rates!$C$7:$C$113,0),6)</f>
        <v>Augmentation</v>
      </c>
      <c r="F29" s="23" t="str">
        <f t="shared" si="5"/>
        <v>SubtransmissionAugmentation</v>
      </c>
      <c r="G29" s="170">
        <f>INDEX(Unit_Rates!$C$7:$K$113,MATCH($C29,Unit_Rates!$C$7:$C$113,0),7)</f>
        <v>0</v>
      </c>
      <c r="H29" s="171"/>
      <c r="I29" s="123" t="s">
        <v>294</v>
      </c>
      <c r="J29" s="165"/>
      <c r="K29" s="172">
        <f>G29*H29</f>
        <v>0</v>
      </c>
      <c r="L29" s="173">
        <f t="shared" si="3"/>
        <v>0</v>
      </c>
      <c r="M29" s="174"/>
      <c r="N29" s="448"/>
      <c r="O29" s="448"/>
      <c r="P29" s="449"/>
      <c r="Q29" s="314">
        <f>P29-H29*VLOOKUP(C29,Unit_Rates!$C$7:$E$113,3,FALSE)</f>
        <v>0</v>
      </c>
      <c r="R29" s="134">
        <v>0</v>
      </c>
      <c r="S29" s="134">
        <v>0</v>
      </c>
      <c r="T29" s="134">
        <v>0</v>
      </c>
      <c r="U29" s="134">
        <v>0</v>
      </c>
      <c r="V29" s="134">
        <v>0</v>
      </c>
      <c r="W29" s="134">
        <v>0</v>
      </c>
      <c r="X29" s="134">
        <v>0</v>
      </c>
      <c r="Y29" s="304">
        <f t="shared" si="4"/>
        <v>0</v>
      </c>
      <c r="AA29" s="5"/>
      <c r="AB29" s="5"/>
      <c r="AC29" s="5"/>
      <c r="AD29" s="5"/>
      <c r="AE29" s="5"/>
      <c r="AF29" s="5"/>
      <c r="AG29" s="5"/>
      <c r="AK29" s="358"/>
      <c r="AL29" s="358"/>
    </row>
    <row r="30" spans="2:38" x14ac:dyDescent="0.25">
      <c r="B30" s="84"/>
      <c r="C30" s="23" t="s">
        <v>133</v>
      </c>
      <c r="D30" s="23" t="str">
        <f>INDEX(Unit_Rates!$C$7:$K$113,MATCH($C30,Unit_Rates!$C$7:$C$113,0),5)</f>
        <v>SCADA/Network control</v>
      </c>
      <c r="E30" s="23" t="str">
        <f>INDEX(Unit_Rates!$C$7:$K$113,MATCH($C30,Unit_Rates!$C$7:$C$113,0),6)</f>
        <v>Augmentation</v>
      </c>
      <c r="F30" s="23" t="str">
        <f t="shared" si="5"/>
        <v>SCADA/Network controlAugmentation</v>
      </c>
      <c r="G30" s="170">
        <f>INDEX(Unit_Rates!$C$7:$K$113,MATCH($C30,Unit_Rates!$C$7:$C$113,0),7)</f>
        <v>1158.2999999999995</v>
      </c>
      <c r="H30" s="171">
        <v>1</v>
      </c>
      <c r="I30" s="123" t="s">
        <v>294</v>
      </c>
      <c r="J30" s="165"/>
      <c r="K30" s="172">
        <f>G30*H30</f>
        <v>1158.2999999999995</v>
      </c>
      <c r="L30" s="173">
        <f t="shared" si="3"/>
        <v>0</v>
      </c>
      <c r="M30" s="174"/>
      <c r="N30" s="448"/>
      <c r="O30" s="448"/>
      <c r="P30" s="449"/>
      <c r="Q30" s="314">
        <f>P30-H30*VLOOKUP(C30,Unit_Rates!$C$7:$E$113,3,FALSE)</f>
        <v>0</v>
      </c>
      <c r="R30" s="134">
        <v>0</v>
      </c>
      <c r="S30" s="134">
        <v>0</v>
      </c>
      <c r="T30" s="134">
        <v>0</v>
      </c>
      <c r="U30" s="134">
        <v>0</v>
      </c>
      <c r="V30" s="134">
        <v>0</v>
      </c>
      <c r="W30" s="134">
        <v>0</v>
      </c>
      <c r="X30" s="134">
        <v>0</v>
      </c>
      <c r="Y30" s="304">
        <f t="shared" si="4"/>
        <v>0</v>
      </c>
      <c r="AA30" s="5"/>
      <c r="AB30" s="5"/>
      <c r="AC30" s="5"/>
      <c r="AD30" s="5"/>
      <c r="AE30" s="5"/>
      <c r="AF30" s="5"/>
      <c r="AG30" s="5"/>
      <c r="AK30" s="358"/>
      <c r="AL30" s="358"/>
    </row>
    <row r="31" spans="2:38" x14ac:dyDescent="0.25">
      <c r="B31" s="84"/>
      <c r="C31" s="23" t="s">
        <v>135</v>
      </c>
      <c r="D31" s="23" t="str">
        <f>INDEX(Unit_Rates!$C$7:$K$113,MATCH($C31,Unit_Rates!$C$7:$C$113,0),5)</f>
        <v>Subtransmission</v>
      </c>
      <c r="E31" s="23" t="str">
        <f>INDEX(Unit_Rates!$C$7:$K$113,MATCH($C31,Unit_Rates!$C$7:$C$113,0),6)</f>
        <v>Augmentation</v>
      </c>
      <c r="F31" s="23" t="str">
        <f t="shared" si="5"/>
        <v>SubtransmissionAugmentation</v>
      </c>
      <c r="G31" s="170">
        <f>INDEX(Unit_Rates!$C$7:$K$113,MATCH($C31,Unit_Rates!$C$7:$C$113,0),7)</f>
        <v>0</v>
      </c>
      <c r="H31" s="171">
        <v>1</v>
      </c>
      <c r="I31" s="123" t="s">
        <v>294</v>
      </c>
      <c r="J31" s="165"/>
      <c r="K31" s="172">
        <f>G31*H31</f>
        <v>0</v>
      </c>
      <c r="L31" s="173">
        <f t="shared" si="3"/>
        <v>0</v>
      </c>
      <c r="M31" s="174"/>
      <c r="N31" s="448"/>
      <c r="O31" s="448"/>
      <c r="P31" s="449"/>
      <c r="Q31" s="314">
        <f>P31-H31*VLOOKUP(C31,Unit_Rates!$C$7:$E$113,3,FALSE)</f>
        <v>0</v>
      </c>
      <c r="R31" s="134">
        <v>0</v>
      </c>
      <c r="S31" s="134">
        <v>0</v>
      </c>
      <c r="T31" s="134">
        <v>0</v>
      </c>
      <c r="U31" s="134">
        <v>0</v>
      </c>
      <c r="V31" s="134">
        <v>0</v>
      </c>
      <c r="W31" s="134">
        <v>0</v>
      </c>
      <c r="X31" s="134">
        <v>0</v>
      </c>
      <c r="Y31" s="304">
        <f t="shared" si="4"/>
        <v>0</v>
      </c>
      <c r="AK31" s="358"/>
      <c r="AL31" s="358"/>
    </row>
    <row r="32" spans="2:38" x14ac:dyDescent="0.25">
      <c r="B32" s="84"/>
      <c r="C32" s="23" t="s">
        <v>137</v>
      </c>
      <c r="D32" s="23" t="str">
        <f>INDEX(Unit_Rates!$C$7:$K$113,MATCH($C32,Unit_Rates!$C$7:$C$113,0),5)</f>
        <v>Subtransmission</v>
      </c>
      <c r="E32" s="23" t="str">
        <f>INDEX(Unit_Rates!$C$7:$K$113,MATCH($C32,Unit_Rates!$C$7:$C$113,0),6)</f>
        <v>Augmentation</v>
      </c>
      <c r="F32" s="23" t="str">
        <f t="shared" si="5"/>
        <v>SubtransmissionAugmentation</v>
      </c>
      <c r="G32" s="170">
        <f>INDEX(Unit_Rates!$C$7:$K$113,MATCH($C32,Unit_Rates!$C$7:$C$113,0),7)</f>
        <v>1353.9999999999995</v>
      </c>
      <c r="H32" s="171">
        <v>1</v>
      </c>
      <c r="I32" s="123" t="s">
        <v>294</v>
      </c>
      <c r="J32" s="165"/>
      <c r="K32" s="172">
        <f t="shared" ref="K32:K55" si="11">G32*H32</f>
        <v>1353.9999999999995</v>
      </c>
      <c r="L32" s="173">
        <f t="shared" si="3"/>
        <v>0</v>
      </c>
      <c r="M32" s="174"/>
      <c r="N32" s="448"/>
      <c r="O32" s="448"/>
      <c r="P32" s="449"/>
      <c r="Q32" s="314">
        <f>P32-H32*VLOOKUP(C32,Unit_Rates!$C$7:$E$113,3,FALSE)</f>
        <v>0</v>
      </c>
      <c r="R32" s="134">
        <v>0</v>
      </c>
      <c r="S32" s="134">
        <v>0</v>
      </c>
      <c r="T32" s="134">
        <v>0</v>
      </c>
      <c r="U32" s="134">
        <v>0</v>
      </c>
      <c r="V32" s="134">
        <v>0</v>
      </c>
      <c r="W32" s="134">
        <v>0</v>
      </c>
      <c r="X32" s="134">
        <v>0</v>
      </c>
      <c r="Y32" s="304">
        <f t="shared" si="4"/>
        <v>0</v>
      </c>
      <c r="AK32" s="358"/>
      <c r="AL32" s="358"/>
    </row>
    <row r="33" spans="2:38" x14ac:dyDescent="0.25">
      <c r="B33" s="84"/>
      <c r="C33" s="23" t="s">
        <v>139</v>
      </c>
      <c r="D33" s="23" t="str">
        <f>INDEX(Unit_Rates!$C$7:$K$113,MATCH($C33,Unit_Rates!$C$7:$C$113,0),5)</f>
        <v>Subtransmission</v>
      </c>
      <c r="E33" s="23" t="str">
        <f>INDEX(Unit_Rates!$C$7:$K$113,MATCH($C33,Unit_Rates!$C$7:$C$113,0),6)</f>
        <v>Augmentation</v>
      </c>
      <c r="F33" s="23" t="str">
        <f t="shared" si="5"/>
        <v>SubtransmissionAugmentation</v>
      </c>
      <c r="G33" s="170">
        <f>INDEX(Unit_Rates!$C$7:$K$113,MATCH($C33,Unit_Rates!$C$7:$C$113,0),7)</f>
        <v>1461.1162790697672</v>
      </c>
      <c r="H33" s="171"/>
      <c r="I33" s="123" t="s">
        <v>294</v>
      </c>
      <c r="J33" s="165"/>
      <c r="K33" s="172">
        <f t="shared" si="11"/>
        <v>0</v>
      </c>
      <c r="L33" s="173">
        <f t="shared" si="3"/>
        <v>0</v>
      </c>
      <c r="M33" s="174"/>
      <c r="N33" s="448"/>
      <c r="O33" s="448"/>
      <c r="P33" s="449"/>
      <c r="Q33" s="314">
        <f>P33-H33*VLOOKUP(C33,Unit_Rates!$C$7:$E$113,3,FALSE)</f>
        <v>0</v>
      </c>
      <c r="R33" s="134">
        <v>0</v>
      </c>
      <c r="S33" s="134">
        <v>0</v>
      </c>
      <c r="T33" s="134">
        <v>0</v>
      </c>
      <c r="U33" s="134">
        <v>0</v>
      </c>
      <c r="V33" s="134">
        <v>0</v>
      </c>
      <c r="W33" s="134">
        <v>0</v>
      </c>
      <c r="X33" s="134">
        <v>0</v>
      </c>
      <c r="Y33" s="304">
        <f t="shared" si="4"/>
        <v>0</v>
      </c>
      <c r="AK33" s="358"/>
      <c r="AL33" s="358"/>
    </row>
    <row r="34" spans="2:38" x14ac:dyDescent="0.25">
      <c r="B34" s="84"/>
      <c r="C34" s="23" t="s">
        <v>141</v>
      </c>
      <c r="D34" s="23" t="str">
        <f>INDEX(Unit_Rates!$C$7:$K$113,MATCH($C34,Unit_Rates!$C$7:$C$113,0),5)</f>
        <v>Subtransmission</v>
      </c>
      <c r="E34" s="23" t="str">
        <f>INDEX(Unit_Rates!$C$7:$K$113,MATCH($C34,Unit_Rates!$C$7:$C$113,0),6)</f>
        <v>Augmentation</v>
      </c>
      <c r="F34" s="23" t="str">
        <f t="shared" si="5"/>
        <v>SubtransmissionAugmentation</v>
      </c>
      <c r="G34" s="170">
        <f>INDEX(Unit_Rates!$C$7:$K$113,MATCH($C34,Unit_Rates!$C$7:$C$113,0),7)</f>
        <v>699.99999999999989</v>
      </c>
      <c r="H34" s="171"/>
      <c r="I34" s="123" t="s">
        <v>294</v>
      </c>
      <c r="J34" s="165"/>
      <c r="K34" s="172">
        <f t="shared" si="11"/>
        <v>0</v>
      </c>
      <c r="L34" s="173">
        <f t="shared" si="3"/>
        <v>0</v>
      </c>
      <c r="M34" s="174"/>
      <c r="N34" s="448"/>
      <c r="O34" s="448"/>
      <c r="P34" s="449"/>
      <c r="Q34" s="314">
        <f>P34-H34*VLOOKUP(C34,Unit_Rates!$C$7:$E$113,3,FALSE)</f>
        <v>0</v>
      </c>
      <c r="R34" s="134">
        <v>0</v>
      </c>
      <c r="S34" s="134">
        <v>0</v>
      </c>
      <c r="T34" s="134">
        <v>0</v>
      </c>
      <c r="U34" s="134">
        <v>0</v>
      </c>
      <c r="V34" s="134">
        <v>0</v>
      </c>
      <c r="W34" s="134">
        <v>0</v>
      </c>
      <c r="X34" s="134">
        <v>0</v>
      </c>
      <c r="Y34" s="304">
        <f t="shared" si="4"/>
        <v>0</v>
      </c>
      <c r="AK34" s="358"/>
      <c r="AL34" s="358"/>
    </row>
    <row r="35" spans="2:38" x14ac:dyDescent="0.25">
      <c r="B35" s="84"/>
      <c r="C35" s="23" t="s">
        <v>147</v>
      </c>
      <c r="D35" s="23" t="str">
        <f>INDEX(Unit_Rates!$C$7:$K$113,MATCH($C35,Unit_Rates!$C$7:$C$113,0),5)</f>
        <v>Subtransmission</v>
      </c>
      <c r="E35" s="23" t="str">
        <f>INDEX(Unit_Rates!$C$7:$K$113,MATCH($C35,Unit_Rates!$C$7:$C$113,0),6)</f>
        <v>Augmentation</v>
      </c>
      <c r="F35" s="23" t="str">
        <f t="shared" si="5"/>
        <v>SubtransmissionAugmentation</v>
      </c>
      <c r="G35" s="170">
        <f>INDEX(Unit_Rates!$C$7:$K$113,MATCH($C35,Unit_Rates!$C$7:$C$113,0),7)</f>
        <v>91.292437209302321</v>
      </c>
      <c r="H35" s="171"/>
      <c r="I35" s="123" t="s">
        <v>294</v>
      </c>
      <c r="J35" s="165"/>
      <c r="K35" s="172">
        <f t="shared" si="11"/>
        <v>0</v>
      </c>
      <c r="L35" s="173">
        <f t="shared" si="3"/>
        <v>0</v>
      </c>
      <c r="M35" s="174"/>
      <c r="N35" s="448"/>
      <c r="O35" s="448"/>
      <c r="P35" s="449"/>
      <c r="Q35" s="314">
        <f>P35-H35*VLOOKUP(C35,Unit_Rates!$C$7:$E$113,3,FALSE)</f>
        <v>0</v>
      </c>
      <c r="R35" s="134">
        <v>0</v>
      </c>
      <c r="S35" s="134">
        <v>0</v>
      </c>
      <c r="T35" s="134">
        <v>0</v>
      </c>
      <c r="U35" s="134">
        <v>0</v>
      </c>
      <c r="V35" s="134">
        <v>0</v>
      </c>
      <c r="W35" s="134">
        <v>0</v>
      </c>
      <c r="X35" s="134">
        <v>0</v>
      </c>
      <c r="Y35" s="304">
        <f t="shared" si="4"/>
        <v>0</v>
      </c>
      <c r="AK35" s="358"/>
      <c r="AL35" s="358"/>
    </row>
    <row r="36" spans="2:38" x14ac:dyDescent="0.25">
      <c r="B36" s="84"/>
      <c r="C36" s="23" t="s">
        <v>149</v>
      </c>
      <c r="D36" s="23" t="str">
        <f>INDEX(Unit_Rates!$C$7:$K$113,MATCH($C36,Unit_Rates!$C$7:$C$113,0),5)</f>
        <v>Subtransmission</v>
      </c>
      <c r="E36" s="23" t="str">
        <f>INDEX(Unit_Rates!$C$7:$K$113,MATCH($C36,Unit_Rates!$C$7:$C$113,0),6)</f>
        <v>Augmentation</v>
      </c>
      <c r="F36" s="23" t="str">
        <f t="shared" si="5"/>
        <v>SubtransmissionAugmentation</v>
      </c>
      <c r="G36" s="170">
        <f>INDEX(Unit_Rates!$C$7:$K$113,MATCH($C36,Unit_Rates!$C$7:$C$113,0),7)</f>
        <v>0</v>
      </c>
      <c r="H36" s="171">
        <v>1</v>
      </c>
      <c r="I36" s="123" t="s">
        <v>294</v>
      </c>
      <c r="J36" s="165"/>
      <c r="K36" s="172">
        <f t="shared" si="11"/>
        <v>0</v>
      </c>
      <c r="L36" s="173">
        <f t="shared" si="3"/>
        <v>0</v>
      </c>
      <c r="M36" s="174"/>
      <c r="N36" s="448"/>
      <c r="O36" s="448"/>
      <c r="P36" s="449"/>
      <c r="Q36" s="314">
        <f>P36-H36*VLOOKUP(C36,Unit_Rates!$C$7:$E$113,3,FALSE)</f>
        <v>0</v>
      </c>
      <c r="R36" s="134">
        <v>0</v>
      </c>
      <c r="S36" s="134">
        <v>0</v>
      </c>
      <c r="T36" s="134">
        <v>0</v>
      </c>
      <c r="U36" s="134">
        <v>0</v>
      </c>
      <c r="V36" s="134">
        <v>0</v>
      </c>
      <c r="W36" s="134">
        <v>0</v>
      </c>
      <c r="X36" s="134">
        <v>0</v>
      </c>
      <c r="Y36" s="304">
        <f t="shared" si="4"/>
        <v>0</v>
      </c>
      <c r="AK36" s="358"/>
      <c r="AL36" s="358"/>
    </row>
    <row r="37" spans="2:38" x14ac:dyDescent="0.25">
      <c r="B37" s="84"/>
      <c r="C37" s="23" t="s">
        <v>423</v>
      </c>
      <c r="D37" s="23" t="str">
        <f>INDEX(Unit_Rates!$C$7:$K$113,MATCH($C37,Unit_Rates!$C$7:$C$113,0),5)</f>
        <v>Subtransmission</v>
      </c>
      <c r="E37" s="23" t="str">
        <f>INDEX(Unit_Rates!$C$7:$K$113,MATCH($C37,Unit_Rates!$C$7:$C$113,0),6)</f>
        <v>Augmentation</v>
      </c>
      <c r="F37" s="23" t="str">
        <f t="shared" ref="F37:F39" si="12">D37&amp;E37</f>
        <v>SubtransmissionAugmentation</v>
      </c>
      <c r="G37" s="170">
        <f>INDEX(Unit_Rates!$C$7:$K$113,MATCH($C37,Unit_Rates!$C$7:$C$113,0),7)</f>
        <v>117.0119598</v>
      </c>
      <c r="H37" s="171">
        <v>1</v>
      </c>
      <c r="I37" s="123" t="s">
        <v>294</v>
      </c>
      <c r="J37" s="165"/>
      <c r="K37" s="172">
        <f t="shared" ref="K37:K39" si="13">G37*H37</f>
        <v>117.0119598</v>
      </c>
      <c r="L37" s="173">
        <f t="shared" ref="L37:L39" si="14">SUMPRODUCT(R$5:X$5,R37:X37)/Thousands</f>
        <v>0</v>
      </c>
      <c r="M37" s="174"/>
      <c r="N37" s="448"/>
      <c r="O37" s="448"/>
      <c r="P37" s="449"/>
      <c r="Q37" s="314">
        <f>P37-H37*VLOOKUP(C37,Unit_Rates!$C$7:$E$113,3,FALSE)</f>
        <v>0</v>
      </c>
      <c r="R37" s="134">
        <v>0</v>
      </c>
      <c r="S37" s="134">
        <v>0</v>
      </c>
      <c r="T37" s="134">
        <v>0</v>
      </c>
      <c r="U37" s="134">
        <v>0</v>
      </c>
      <c r="V37" s="134">
        <v>0</v>
      </c>
      <c r="W37" s="134">
        <v>0</v>
      </c>
      <c r="X37" s="134">
        <v>0</v>
      </c>
      <c r="Y37" s="304">
        <f t="shared" ref="Y37:Y39" si="15">SUM(R37:X37)</f>
        <v>0</v>
      </c>
      <c r="AK37" s="358"/>
      <c r="AL37" s="358"/>
    </row>
    <row r="38" spans="2:38" x14ac:dyDescent="0.25">
      <c r="B38" s="84"/>
      <c r="C38" s="23" t="s">
        <v>425</v>
      </c>
      <c r="D38" s="23" t="str">
        <f>INDEX(Unit_Rates!$C$7:$K$113,MATCH($C38,Unit_Rates!$C$7:$C$113,0),5)</f>
        <v>Subtransmission</v>
      </c>
      <c r="E38" s="23" t="str">
        <f>INDEX(Unit_Rates!$C$7:$K$113,MATCH($C38,Unit_Rates!$C$7:$C$113,0),6)</f>
        <v>Augmentation</v>
      </c>
      <c r="F38" s="23" t="str">
        <f t="shared" si="12"/>
        <v>SubtransmissionAugmentation</v>
      </c>
      <c r="G38" s="170">
        <f>INDEX(Unit_Rates!$C$7:$K$113,MATCH($C38,Unit_Rates!$C$7:$C$113,0),7)</f>
        <v>23.788</v>
      </c>
      <c r="H38" s="171">
        <v>2</v>
      </c>
      <c r="I38" s="123" t="s">
        <v>294</v>
      </c>
      <c r="J38" s="165"/>
      <c r="K38" s="172">
        <f t="shared" si="13"/>
        <v>47.576000000000001</v>
      </c>
      <c r="L38" s="173">
        <f t="shared" si="14"/>
        <v>0</v>
      </c>
      <c r="M38" s="174"/>
      <c r="N38" s="448"/>
      <c r="O38" s="448"/>
      <c r="P38" s="449"/>
      <c r="Q38" s="314">
        <f>P38-H38*VLOOKUP(C38,Unit_Rates!$C$7:$E$113,3,FALSE)</f>
        <v>0</v>
      </c>
      <c r="R38" s="134">
        <v>0</v>
      </c>
      <c r="S38" s="134">
        <v>0</v>
      </c>
      <c r="T38" s="134">
        <v>0</v>
      </c>
      <c r="U38" s="134">
        <v>0</v>
      </c>
      <c r="V38" s="134">
        <v>0</v>
      </c>
      <c r="W38" s="134">
        <v>0</v>
      </c>
      <c r="X38" s="134">
        <v>0</v>
      </c>
      <c r="Y38" s="304">
        <f t="shared" si="15"/>
        <v>0</v>
      </c>
      <c r="AK38" s="358"/>
      <c r="AL38" s="358"/>
    </row>
    <row r="39" spans="2:38" x14ac:dyDescent="0.25">
      <c r="B39" s="84"/>
      <c r="C39" s="23" t="s">
        <v>422</v>
      </c>
      <c r="D39" s="23" t="str">
        <f>INDEX(Unit_Rates!$C$7:$K$113,MATCH($C39,Unit_Rates!$C$7:$C$113,0),5)</f>
        <v>Subtransmission</v>
      </c>
      <c r="E39" s="23" t="str">
        <f>INDEX(Unit_Rates!$C$7:$K$113,MATCH($C39,Unit_Rates!$C$7:$C$113,0),6)</f>
        <v>Augmentation</v>
      </c>
      <c r="F39" s="23" t="str">
        <f t="shared" si="12"/>
        <v>SubtransmissionAugmentation</v>
      </c>
      <c r="G39" s="170">
        <f>INDEX(Unit_Rates!$C$7:$K$113,MATCH($C39,Unit_Rates!$C$7:$C$113,0),7)</f>
        <v>25.198000049999997</v>
      </c>
      <c r="H39" s="171">
        <v>2</v>
      </c>
      <c r="I39" s="123" t="s">
        <v>294</v>
      </c>
      <c r="J39" s="165"/>
      <c r="K39" s="172">
        <f t="shared" si="13"/>
        <v>50.396000099999995</v>
      </c>
      <c r="L39" s="173">
        <f t="shared" si="14"/>
        <v>0</v>
      </c>
      <c r="M39" s="174"/>
      <c r="N39" s="448"/>
      <c r="O39" s="448"/>
      <c r="P39" s="449"/>
      <c r="Q39" s="314">
        <f>P39-H39*VLOOKUP(C39,Unit_Rates!$C$7:$E$113,3,FALSE)</f>
        <v>0</v>
      </c>
      <c r="R39" s="134">
        <v>0</v>
      </c>
      <c r="S39" s="134">
        <v>0</v>
      </c>
      <c r="T39" s="134">
        <v>0</v>
      </c>
      <c r="U39" s="134">
        <v>0</v>
      </c>
      <c r="V39" s="134">
        <v>0</v>
      </c>
      <c r="W39" s="134">
        <v>0</v>
      </c>
      <c r="X39" s="134">
        <v>0</v>
      </c>
      <c r="Y39" s="304">
        <f t="shared" si="15"/>
        <v>0</v>
      </c>
      <c r="AK39" s="358"/>
      <c r="AL39" s="358"/>
    </row>
    <row r="40" spans="2:38" x14ac:dyDescent="0.25">
      <c r="B40" s="84"/>
      <c r="C40" s="23" t="s">
        <v>150</v>
      </c>
      <c r="D40" s="23" t="str">
        <f>INDEX(Unit_Rates!$C$7:$K$113,MATCH($C40,Unit_Rates!$C$7:$C$113,0),5)</f>
        <v>Subtransmission</v>
      </c>
      <c r="E40" s="23" t="str">
        <f>INDEX(Unit_Rates!$C$7:$K$113,MATCH($C40,Unit_Rates!$C$7:$C$113,0),6)</f>
        <v>Augmentation</v>
      </c>
      <c r="F40" s="23" t="str">
        <f t="shared" si="5"/>
        <v>SubtransmissionAugmentation</v>
      </c>
      <c r="G40" s="170">
        <f>INDEX(Unit_Rates!$C$7:$K$113,MATCH($C40,Unit_Rates!$C$7:$C$113,0),7)</f>
        <v>107.00599999999997</v>
      </c>
      <c r="H40" s="171"/>
      <c r="I40" s="123" t="s">
        <v>294</v>
      </c>
      <c r="J40" s="165"/>
      <c r="K40" s="172">
        <f t="shared" si="11"/>
        <v>0</v>
      </c>
      <c r="L40" s="173">
        <f t="shared" si="3"/>
        <v>0</v>
      </c>
      <c r="M40" s="174"/>
      <c r="N40" s="448"/>
      <c r="O40" s="448"/>
      <c r="P40" s="449"/>
      <c r="Q40" s="314">
        <f>P40-H40*VLOOKUP(C40,Unit_Rates!$C$7:$E$113,3,FALSE)</f>
        <v>0</v>
      </c>
      <c r="R40" s="134">
        <v>0</v>
      </c>
      <c r="S40" s="134">
        <v>0</v>
      </c>
      <c r="T40" s="134">
        <v>0</v>
      </c>
      <c r="U40" s="134">
        <v>0</v>
      </c>
      <c r="V40" s="134">
        <v>0</v>
      </c>
      <c r="W40" s="134">
        <v>0</v>
      </c>
      <c r="X40" s="134">
        <v>0</v>
      </c>
      <c r="Y40" s="304">
        <f t="shared" si="4"/>
        <v>0</v>
      </c>
      <c r="AK40" s="358"/>
      <c r="AL40" s="358"/>
    </row>
    <row r="41" spans="2:38" x14ac:dyDescent="0.25">
      <c r="B41" s="84"/>
      <c r="C41" s="23" t="s">
        <v>152</v>
      </c>
      <c r="D41" s="23" t="str">
        <f>INDEX(Unit_Rates!$C$7:$K$113,MATCH($C41,Unit_Rates!$C$7:$C$113,0),5)</f>
        <v>Subtransmission</v>
      </c>
      <c r="E41" s="23" t="str">
        <f>INDEX(Unit_Rates!$C$7:$K$113,MATCH($C41,Unit_Rates!$C$7:$C$113,0),6)</f>
        <v>Augmentation</v>
      </c>
      <c r="F41" s="23" t="str">
        <f t="shared" si="5"/>
        <v>SubtransmissionAugmentation</v>
      </c>
      <c r="G41" s="170">
        <f>INDEX(Unit_Rates!$C$7:$K$113,MATCH($C41,Unit_Rates!$C$7:$C$113,0),7)</f>
        <v>7.6639999999999979</v>
      </c>
      <c r="H41" s="171"/>
      <c r="I41" s="123" t="s">
        <v>294</v>
      </c>
      <c r="J41" s="165"/>
      <c r="K41" s="172">
        <f t="shared" si="11"/>
        <v>0</v>
      </c>
      <c r="L41" s="173">
        <f t="shared" si="3"/>
        <v>0</v>
      </c>
      <c r="M41" s="174"/>
      <c r="N41" s="448"/>
      <c r="O41" s="448"/>
      <c r="P41" s="449"/>
      <c r="Q41" s="314">
        <f>P41-H41*VLOOKUP(C41,Unit_Rates!$C$7:$E$113,3,FALSE)</f>
        <v>0</v>
      </c>
      <c r="R41" s="134">
        <v>0</v>
      </c>
      <c r="S41" s="134">
        <v>0</v>
      </c>
      <c r="T41" s="134">
        <v>0</v>
      </c>
      <c r="U41" s="134">
        <v>0</v>
      </c>
      <c r="V41" s="134">
        <v>0</v>
      </c>
      <c r="W41" s="134">
        <v>0</v>
      </c>
      <c r="X41" s="134">
        <v>0</v>
      </c>
      <c r="Y41" s="304">
        <f t="shared" si="4"/>
        <v>0</v>
      </c>
      <c r="AK41" s="358"/>
      <c r="AL41" s="358"/>
    </row>
    <row r="42" spans="2:38" x14ac:dyDescent="0.25">
      <c r="B42" s="84"/>
      <c r="C42" s="23" t="s">
        <v>156</v>
      </c>
      <c r="D42" s="23" t="str">
        <f>INDEX(Unit_Rates!$C$7:$K$113,MATCH($C42,Unit_Rates!$C$7:$C$113,0),5)</f>
        <v>Subtransmission</v>
      </c>
      <c r="E42" s="23" t="str">
        <f>INDEX(Unit_Rates!$C$7:$K$113,MATCH($C42,Unit_Rates!$C$7:$C$113,0),6)</f>
        <v>Augmentation</v>
      </c>
      <c r="F42" s="23" t="str">
        <f t="shared" si="5"/>
        <v>SubtransmissionAugmentation</v>
      </c>
      <c r="G42" s="170">
        <f>INDEX(Unit_Rates!$C$7:$K$113,MATCH($C42,Unit_Rates!$C$7:$C$113,0),7)</f>
        <v>27.162999999999993</v>
      </c>
      <c r="H42" s="171"/>
      <c r="I42" s="123" t="s">
        <v>294</v>
      </c>
      <c r="J42" s="165"/>
      <c r="K42" s="172">
        <f t="shared" si="11"/>
        <v>0</v>
      </c>
      <c r="L42" s="173">
        <f t="shared" si="3"/>
        <v>0</v>
      </c>
      <c r="M42" s="174"/>
      <c r="N42" s="448"/>
      <c r="O42" s="448"/>
      <c r="P42" s="449"/>
      <c r="Q42" s="314">
        <f>P42-H42*VLOOKUP(C42,Unit_Rates!$C$7:$E$113,3,FALSE)</f>
        <v>0</v>
      </c>
      <c r="R42" s="134">
        <v>0</v>
      </c>
      <c r="S42" s="134">
        <v>0</v>
      </c>
      <c r="T42" s="134">
        <v>0</v>
      </c>
      <c r="U42" s="134">
        <v>0</v>
      </c>
      <c r="V42" s="134">
        <v>0</v>
      </c>
      <c r="W42" s="134">
        <v>0</v>
      </c>
      <c r="X42" s="134">
        <v>0</v>
      </c>
      <c r="Y42" s="304">
        <f t="shared" si="4"/>
        <v>0</v>
      </c>
      <c r="AK42" s="358"/>
      <c r="AL42" s="358"/>
    </row>
    <row r="43" spans="2:38" x14ac:dyDescent="0.25">
      <c r="B43" s="84"/>
      <c r="C43" s="23" t="s">
        <v>157</v>
      </c>
      <c r="D43" s="23" t="str">
        <f>INDEX(Unit_Rates!$C$7:$K$113,MATCH($C43,Unit_Rates!$C$7:$C$113,0),5)</f>
        <v>Subtransmission</v>
      </c>
      <c r="E43" s="23" t="str">
        <f>INDEX(Unit_Rates!$C$7:$K$113,MATCH($C43,Unit_Rates!$C$7:$C$113,0),6)</f>
        <v>Augmentation</v>
      </c>
      <c r="F43" s="23" t="str">
        <f t="shared" si="5"/>
        <v>SubtransmissionAugmentation</v>
      </c>
      <c r="G43" s="170">
        <f>INDEX(Unit_Rates!$C$7:$K$113,MATCH($C43,Unit_Rates!$C$7:$C$113,0),7)</f>
        <v>0</v>
      </c>
      <c r="H43" s="171"/>
      <c r="I43" s="123" t="s">
        <v>294</v>
      </c>
      <c r="J43" s="165"/>
      <c r="K43" s="172">
        <f t="shared" si="11"/>
        <v>0</v>
      </c>
      <c r="L43" s="173">
        <f t="shared" si="3"/>
        <v>0</v>
      </c>
      <c r="M43" s="174"/>
      <c r="N43" s="448"/>
      <c r="O43" s="448"/>
      <c r="P43" s="449"/>
      <c r="Q43" s="314">
        <f>P43-H43*VLOOKUP(C43,Unit_Rates!$C$7:$E$113,3,FALSE)</f>
        <v>0</v>
      </c>
      <c r="R43" s="134">
        <v>0</v>
      </c>
      <c r="S43" s="134">
        <v>0</v>
      </c>
      <c r="T43" s="134">
        <v>0</v>
      </c>
      <c r="U43" s="134">
        <v>0</v>
      </c>
      <c r="V43" s="134">
        <v>0</v>
      </c>
      <c r="W43" s="134">
        <v>0</v>
      </c>
      <c r="X43" s="134">
        <v>0</v>
      </c>
      <c r="Y43" s="304">
        <f t="shared" si="4"/>
        <v>0</v>
      </c>
      <c r="AK43" s="358"/>
      <c r="AL43" s="358"/>
    </row>
    <row r="44" spans="2:38" x14ac:dyDescent="0.25">
      <c r="B44" s="84"/>
      <c r="C44" s="23" t="s">
        <v>155</v>
      </c>
      <c r="D44" s="23" t="str">
        <f>INDEX(Unit_Rates!$C$7:$K$113,MATCH($C44,Unit_Rates!$C$7:$C$113,0),5)</f>
        <v>Subtransmission</v>
      </c>
      <c r="E44" s="23" t="str">
        <f>INDEX(Unit_Rates!$C$7:$K$113,MATCH($C44,Unit_Rates!$C$7:$C$113,0),6)</f>
        <v>Augmentation</v>
      </c>
      <c r="F44" s="23" t="str">
        <f t="shared" si="5"/>
        <v>SubtransmissionAugmentation</v>
      </c>
      <c r="G44" s="170">
        <f>INDEX(Unit_Rates!$C$7:$K$113,MATCH($C44,Unit_Rates!$C$7:$C$113,0),7)</f>
        <v>0</v>
      </c>
      <c r="H44" s="171"/>
      <c r="I44" s="123" t="s">
        <v>294</v>
      </c>
      <c r="J44" s="165"/>
      <c r="K44" s="172">
        <f t="shared" si="11"/>
        <v>0</v>
      </c>
      <c r="L44" s="173">
        <f t="shared" si="3"/>
        <v>0</v>
      </c>
      <c r="M44" s="174"/>
      <c r="N44" s="448"/>
      <c r="O44" s="448"/>
      <c r="P44" s="449"/>
      <c r="Q44" s="314">
        <f>P44-H44*VLOOKUP(C44,Unit_Rates!$C$7:$E$113,3,FALSE)</f>
        <v>0</v>
      </c>
      <c r="R44" s="134">
        <v>0</v>
      </c>
      <c r="S44" s="134">
        <v>0</v>
      </c>
      <c r="T44" s="134">
        <v>0</v>
      </c>
      <c r="U44" s="134">
        <v>0</v>
      </c>
      <c r="V44" s="134">
        <v>0</v>
      </c>
      <c r="W44" s="134">
        <v>0</v>
      </c>
      <c r="X44" s="134">
        <v>0</v>
      </c>
      <c r="Y44" s="304">
        <f t="shared" si="4"/>
        <v>0</v>
      </c>
      <c r="AK44" s="358"/>
      <c r="AL44" s="358"/>
    </row>
    <row r="45" spans="2:38" x14ac:dyDescent="0.25">
      <c r="B45" s="84"/>
      <c r="C45" s="23" t="s">
        <v>421</v>
      </c>
      <c r="D45" s="23" t="str">
        <f>INDEX(Unit_Rates!$C$7:$K$113,MATCH($C45,Unit_Rates!$C$7:$C$113,0),5)</f>
        <v>Subtransmission</v>
      </c>
      <c r="E45" s="23" t="str">
        <f>INDEX(Unit_Rates!$C$7:$K$113,MATCH($C45,Unit_Rates!$C$7:$C$113,0),6)</f>
        <v>Augmentation</v>
      </c>
      <c r="F45" s="23" t="str">
        <f t="shared" ref="F45" si="16">D45&amp;E45</f>
        <v>SubtransmissionAugmentation</v>
      </c>
      <c r="G45" s="170">
        <f>INDEX(Unit_Rates!$C$7:$K$113,MATCH($C45,Unit_Rates!$C$7:$C$113,0),7)</f>
        <v>0.62196000000000007</v>
      </c>
      <c r="H45" s="171">
        <v>6</v>
      </c>
      <c r="I45" s="123" t="s">
        <v>294</v>
      </c>
      <c r="J45" s="165"/>
      <c r="K45" s="172">
        <f t="shared" ref="K45" si="17">G45*H45</f>
        <v>3.7317600000000004</v>
      </c>
      <c r="L45" s="173">
        <f t="shared" ref="L45" si="18">SUMPRODUCT(R$5:X$5,R45:X45)/Thousands</f>
        <v>0</v>
      </c>
      <c r="M45" s="174"/>
      <c r="N45" s="448"/>
      <c r="O45" s="448"/>
      <c r="P45" s="449"/>
      <c r="Q45" s="314">
        <f>P45-H45*VLOOKUP(C45,Unit_Rates!$C$7:$E$113,3,FALSE)</f>
        <v>0</v>
      </c>
      <c r="R45" s="134">
        <v>0</v>
      </c>
      <c r="S45" s="134">
        <v>0</v>
      </c>
      <c r="T45" s="134">
        <v>0</v>
      </c>
      <c r="U45" s="134">
        <v>0</v>
      </c>
      <c r="V45" s="134">
        <v>0</v>
      </c>
      <c r="W45" s="134">
        <v>0</v>
      </c>
      <c r="X45" s="134">
        <v>0</v>
      </c>
      <c r="Y45" s="304">
        <f t="shared" ref="Y45" si="19">SUM(R45:X45)</f>
        <v>0</v>
      </c>
      <c r="AK45" s="358"/>
      <c r="AL45" s="358"/>
    </row>
    <row r="46" spans="2:38" x14ac:dyDescent="0.25">
      <c r="B46" s="84"/>
      <c r="C46" s="23" t="s">
        <v>159</v>
      </c>
      <c r="D46" s="23" t="str">
        <f>INDEX(Unit_Rates!$C$7:$K$113,MATCH($C46,Unit_Rates!$C$7:$C$113,0),5)</f>
        <v>Subtransmission</v>
      </c>
      <c r="E46" s="23" t="str">
        <f>INDEX(Unit_Rates!$C$7:$K$113,MATCH($C46,Unit_Rates!$C$7:$C$113,0),6)</f>
        <v>Augmentation</v>
      </c>
      <c r="F46" s="23" t="str">
        <f t="shared" si="5"/>
        <v>SubtransmissionAugmentation</v>
      </c>
      <c r="G46" s="170">
        <f>INDEX(Unit_Rates!$C$7:$K$113,MATCH($C46,Unit_Rates!$C$7:$C$113,0),7)</f>
        <v>0.61999999999999977</v>
      </c>
      <c r="H46" s="171"/>
      <c r="I46" s="123" t="s">
        <v>294</v>
      </c>
      <c r="J46" s="165"/>
      <c r="K46" s="172">
        <f t="shared" si="11"/>
        <v>0</v>
      </c>
      <c r="L46" s="173">
        <f t="shared" si="3"/>
        <v>0</v>
      </c>
      <c r="M46" s="174"/>
      <c r="N46" s="448"/>
      <c r="O46" s="448"/>
      <c r="P46" s="449"/>
      <c r="Q46" s="314">
        <f>P46-H46*VLOOKUP(C46,Unit_Rates!$C$7:$E$113,3,FALSE)</f>
        <v>0</v>
      </c>
      <c r="R46" s="134">
        <v>0</v>
      </c>
      <c r="S46" s="134">
        <v>0</v>
      </c>
      <c r="T46" s="134">
        <v>0</v>
      </c>
      <c r="U46" s="134">
        <v>0</v>
      </c>
      <c r="V46" s="134">
        <v>0</v>
      </c>
      <c r="W46" s="134">
        <v>0</v>
      </c>
      <c r="X46" s="134">
        <v>0</v>
      </c>
      <c r="Y46" s="304">
        <f t="shared" si="4"/>
        <v>0</v>
      </c>
      <c r="AK46" s="358"/>
      <c r="AL46" s="358"/>
    </row>
    <row r="47" spans="2:38" x14ac:dyDescent="0.25">
      <c r="B47" s="84"/>
      <c r="C47" s="23" t="s">
        <v>179</v>
      </c>
      <c r="D47" s="23" t="str">
        <f>INDEX(Unit_Rates!$C$7:$K$113,MATCH($C47,Unit_Rates!$C$7:$C$113,0),5)</f>
        <v>Subtransmission</v>
      </c>
      <c r="E47" s="23" t="str">
        <f>INDEX(Unit_Rates!$C$7:$K$113,MATCH($C47,Unit_Rates!$C$7:$C$113,0),6)</f>
        <v>Augmentation</v>
      </c>
      <c r="F47" s="23" t="str">
        <f t="shared" si="5"/>
        <v>SubtransmissionAugmentation</v>
      </c>
      <c r="G47" s="170">
        <f>INDEX(Unit_Rates!$C$7:$K$113,MATCH($C47,Unit_Rates!$C$7:$C$113,0),7)</f>
        <v>0</v>
      </c>
      <c r="H47" s="171"/>
      <c r="I47" s="123" t="s">
        <v>294</v>
      </c>
      <c r="J47" s="165"/>
      <c r="K47" s="172">
        <f t="shared" si="11"/>
        <v>0</v>
      </c>
      <c r="L47" s="173">
        <f t="shared" si="3"/>
        <v>0</v>
      </c>
      <c r="M47" s="174"/>
      <c r="N47" s="448"/>
      <c r="O47" s="448"/>
      <c r="P47" s="449"/>
      <c r="Q47" s="314">
        <f>P47-H47*VLOOKUP(C47,Unit_Rates!$C$7:$E$113,3,FALSE)</f>
        <v>0</v>
      </c>
      <c r="R47" s="134">
        <v>0</v>
      </c>
      <c r="S47" s="134">
        <v>0</v>
      </c>
      <c r="T47" s="134">
        <v>0</v>
      </c>
      <c r="U47" s="134">
        <v>0</v>
      </c>
      <c r="V47" s="134">
        <v>0</v>
      </c>
      <c r="W47" s="134">
        <v>0</v>
      </c>
      <c r="X47" s="134">
        <v>0</v>
      </c>
      <c r="Y47" s="304">
        <f t="shared" si="4"/>
        <v>0</v>
      </c>
      <c r="AK47" s="358"/>
      <c r="AL47" s="358"/>
    </row>
    <row r="48" spans="2:38" x14ac:dyDescent="0.25">
      <c r="B48" s="84"/>
      <c r="C48" s="23" t="s">
        <v>161</v>
      </c>
      <c r="D48" s="23" t="str">
        <f>INDEX(Unit_Rates!$C$7:$K$113,MATCH($C48,Unit_Rates!$C$7:$C$113,0),5)</f>
        <v>Subtransmission</v>
      </c>
      <c r="E48" s="23" t="str">
        <f>INDEX(Unit_Rates!$C$7:$K$113,MATCH($C48,Unit_Rates!$C$7:$C$113,0),6)</f>
        <v>Augmentation</v>
      </c>
      <c r="F48" s="23" t="str">
        <f t="shared" si="5"/>
        <v>SubtransmissionAugmentation</v>
      </c>
      <c r="G48" s="170">
        <f>INDEX(Unit_Rates!$C$7:$K$113,MATCH($C48,Unit_Rates!$C$7:$C$113,0),7)</f>
        <v>93.853999999999985</v>
      </c>
      <c r="H48" s="171">
        <v>1</v>
      </c>
      <c r="I48" s="123" t="s">
        <v>294</v>
      </c>
      <c r="J48" s="165"/>
      <c r="K48" s="172">
        <f t="shared" si="11"/>
        <v>93.853999999999985</v>
      </c>
      <c r="L48" s="173">
        <f t="shared" si="3"/>
        <v>0</v>
      </c>
      <c r="M48" s="174"/>
      <c r="N48" s="448"/>
      <c r="O48" s="448"/>
      <c r="P48" s="449"/>
      <c r="Q48" s="314">
        <f>P48-H48*VLOOKUP(C48,Unit_Rates!$C$7:$E$113,3,FALSE)</f>
        <v>0</v>
      </c>
      <c r="R48" s="134">
        <v>0</v>
      </c>
      <c r="S48" s="134">
        <v>0</v>
      </c>
      <c r="T48" s="134">
        <v>0</v>
      </c>
      <c r="U48" s="134">
        <v>0</v>
      </c>
      <c r="V48" s="134">
        <v>0</v>
      </c>
      <c r="W48" s="134">
        <v>0</v>
      </c>
      <c r="X48" s="134">
        <v>0</v>
      </c>
      <c r="Y48" s="304">
        <f t="shared" si="4"/>
        <v>0</v>
      </c>
      <c r="AK48" s="358"/>
      <c r="AL48" s="358"/>
    </row>
    <row r="49" spans="2:38" x14ac:dyDescent="0.25">
      <c r="B49" s="84"/>
      <c r="C49" s="23" t="s">
        <v>163</v>
      </c>
      <c r="D49" s="23" t="str">
        <f>INDEX(Unit_Rates!$C$7:$K$113,MATCH($C49,Unit_Rates!$C$7:$C$113,0),5)</f>
        <v>Subtransmission</v>
      </c>
      <c r="E49" s="23" t="str">
        <f>INDEX(Unit_Rates!$C$7:$K$113,MATCH($C49,Unit_Rates!$C$7:$C$113,0),6)</f>
        <v>Augmentation</v>
      </c>
      <c r="F49" s="23" t="str">
        <f t="shared" si="5"/>
        <v>SubtransmissionAugmentation</v>
      </c>
      <c r="G49" s="170">
        <f>INDEX(Unit_Rates!$C$7:$K$113,MATCH($C49,Unit_Rates!$C$7:$C$113,0),7)</f>
        <v>0</v>
      </c>
      <c r="H49" s="171">
        <v>1</v>
      </c>
      <c r="I49" s="123" t="s">
        <v>294</v>
      </c>
      <c r="J49" s="165"/>
      <c r="K49" s="172">
        <f t="shared" si="11"/>
        <v>0</v>
      </c>
      <c r="L49" s="173">
        <f t="shared" si="3"/>
        <v>0</v>
      </c>
      <c r="M49" s="174"/>
      <c r="N49" s="448"/>
      <c r="O49" s="448"/>
      <c r="P49" s="449"/>
      <c r="Q49" s="314">
        <f>P49-H49*VLOOKUP(C49,Unit_Rates!$C$7:$E$113,3,FALSE)</f>
        <v>0</v>
      </c>
      <c r="R49" s="134">
        <v>0</v>
      </c>
      <c r="S49" s="134">
        <v>0</v>
      </c>
      <c r="T49" s="134">
        <v>0</v>
      </c>
      <c r="U49" s="134">
        <v>0</v>
      </c>
      <c r="V49" s="134">
        <v>0</v>
      </c>
      <c r="W49" s="134">
        <v>0</v>
      </c>
      <c r="X49" s="134">
        <v>0</v>
      </c>
      <c r="Y49" s="304">
        <f t="shared" si="4"/>
        <v>0</v>
      </c>
      <c r="AK49" s="358"/>
      <c r="AL49" s="358"/>
    </row>
    <row r="50" spans="2:38" x14ac:dyDescent="0.25">
      <c r="B50" s="84"/>
      <c r="C50" s="23" t="s">
        <v>167</v>
      </c>
      <c r="D50" s="23" t="str">
        <f>INDEX(Unit_Rates!$C$7:$K$113,MATCH($C50,Unit_Rates!$C$7:$C$113,0),5)</f>
        <v>Subtransmission</v>
      </c>
      <c r="E50" s="23" t="str">
        <f>INDEX(Unit_Rates!$C$7:$K$113,MATCH($C50,Unit_Rates!$C$7:$C$113,0),6)</f>
        <v>Augmentation</v>
      </c>
      <c r="F50" s="23" t="str">
        <f t="shared" si="5"/>
        <v>SubtransmissionAugmentation</v>
      </c>
      <c r="G50" s="170">
        <f>INDEX(Unit_Rates!$C$7:$K$113,MATCH($C50,Unit_Rates!$C$7:$C$113,0),7)</f>
        <v>227.62999999999997</v>
      </c>
      <c r="H50" s="171"/>
      <c r="I50" s="123" t="s">
        <v>294</v>
      </c>
      <c r="J50" s="165"/>
      <c r="K50" s="172">
        <f t="shared" si="11"/>
        <v>0</v>
      </c>
      <c r="L50" s="173">
        <f t="shared" si="3"/>
        <v>0</v>
      </c>
      <c r="M50" s="174"/>
      <c r="N50" s="448"/>
      <c r="O50" s="448"/>
      <c r="P50" s="449"/>
      <c r="Q50" s="314">
        <f>P50-H50*VLOOKUP(C50,Unit_Rates!$C$7:$E$113,3,FALSE)</f>
        <v>0</v>
      </c>
      <c r="R50" s="134">
        <v>0</v>
      </c>
      <c r="S50" s="134">
        <v>0</v>
      </c>
      <c r="T50" s="134">
        <v>0</v>
      </c>
      <c r="U50" s="134">
        <v>0</v>
      </c>
      <c r="V50" s="134">
        <v>0</v>
      </c>
      <c r="W50" s="134">
        <v>0</v>
      </c>
      <c r="X50" s="134">
        <v>0</v>
      </c>
      <c r="Y50" s="304">
        <f t="shared" si="4"/>
        <v>0</v>
      </c>
      <c r="AK50" s="358"/>
      <c r="AL50" s="358"/>
    </row>
    <row r="51" spans="2:38" x14ac:dyDescent="0.25">
      <c r="B51" s="84"/>
      <c r="C51" s="23" t="s">
        <v>171</v>
      </c>
      <c r="D51" s="23" t="str">
        <f>INDEX(Unit_Rates!$C$7:$K$113,MATCH($C51,Unit_Rates!$C$7:$C$113,0),5)</f>
        <v>Subtransmission</v>
      </c>
      <c r="E51" s="23" t="str">
        <f>INDEX(Unit_Rates!$C$7:$K$113,MATCH($C51,Unit_Rates!$C$7:$C$113,0),6)</f>
        <v>Augmentation</v>
      </c>
      <c r="F51" s="23" t="str">
        <f t="shared" si="5"/>
        <v>SubtransmissionAugmentation</v>
      </c>
      <c r="G51" s="170">
        <f>INDEX(Unit_Rates!$C$7:$K$113,MATCH($C51,Unit_Rates!$C$7:$C$113,0),7)</f>
        <v>369.03899999999987</v>
      </c>
      <c r="H51" s="171"/>
      <c r="I51" s="123" t="s">
        <v>294</v>
      </c>
      <c r="J51" s="165"/>
      <c r="K51" s="172">
        <f t="shared" si="11"/>
        <v>0</v>
      </c>
      <c r="L51" s="173">
        <f t="shared" si="3"/>
        <v>0</v>
      </c>
      <c r="M51" s="174"/>
      <c r="N51" s="448"/>
      <c r="O51" s="448"/>
      <c r="P51" s="449"/>
      <c r="Q51" s="314">
        <f>P51-H51*VLOOKUP(C51,Unit_Rates!$C$7:$E$113,3,FALSE)</f>
        <v>0</v>
      </c>
      <c r="R51" s="134">
        <v>0</v>
      </c>
      <c r="S51" s="134">
        <v>0</v>
      </c>
      <c r="T51" s="134">
        <v>0</v>
      </c>
      <c r="U51" s="134">
        <v>0</v>
      </c>
      <c r="V51" s="134">
        <v>0</v>
      </c>
      <c r="W51" s="134">
        <v>0</v>
      </c>
      <c r="X51" s="134">
        <v>0</v>
      </c>
      <c r="Y51" s="304">
        <f t="shared" si="4"/>
        <v>0</v>
      </c>
      <c r="AK51" s="358"/>
      <c r="AL51" s="358"/>
    </row>
    <row r="52" spans="2:38" x14ac:dyDescent="0.25">
      <c r="B52" s="84"/>
      <c r="C52" s="23" t="s">
        <v>173</v>
      </c>
      <c r="D52" s="23" t="str">
        <f>INDEX(Unit_Rates!$C$7:$K$113,MATCH($C52,Unit_Rates!$C$7:$C$113,0),5)</f>
        <v>Subtransmission</v>
      </c>
      <c r="E52" s="23" t="str">
        <f>INDEX(Unit_Rates!$C$7:$K$113,MATCH($C52,Unit_Rates!$C$7:$C$113,0),6)</f>
        <v>Augmentation</v>
      </c>
      <c r="F52" s="23" t="str">
        <f t="shared" si="5"/>
        <v>SubtransmissionAugmentation</v>
      </c>
      <c r="G52" s="170">
        <v>0.15716103888888888</v>
      </c>
      <c r="H52" s="171">
        <v>900</v>
      </c>
      <c r="I52" s="123" t="s">
        <v>295</v>
      </c>
      <c r="J52" s="165"/>
      <c r="K52" s="172">
        <f t="shared" si="11"/>
        <v>141.44493499999999</v>
      </c>
      <c r="L52" s="173">
        <f t="shared" si="3"/>
        <v>0</v>
      </c>
      <c r="M52" s="174"/>
      <c r="N52" s="448"/>
      <c r="O52" s="448"/>
      <c r="P52" s="449"/>
      <c r="Q52" s="152"/>
      <c r="R52" s="134">
        <v>0</v>
      </c>
      <c r="S52" s="134">
        <v>0</v>
      </c>
      <c r="T52" s="134">
        <v>0</v>
      </c>
      <c r="U52" s="134">
        <v>0</v>
      </c>
      <c r="V52" s="134">
        <v>0</v>
      </c>
      <c r="W52" s="134">
        <v>0</v>
      </c>
      <c r="X52" s="134">
        <v>0</v>
      </c>
      <c r="Y52" s="304">
        <f t="shared" si="4"/>
        <v>0</v>
      </c>
      <c r="AK52" s="358"/>
      <c r="AL52" s="358"/>
    </row>
    <row r="53" spans="2:38" x14ac:dyDescent="0.25">
      <c r="B53" s="84"/>
      <c r="C53" s="23" t="s">
        <v>177</v>
      </c>
      <c r="D53" s="23" t="str">
        <f>INDEX(Unit_Rates!$C$7:$K$113,MATCH($C53,Unit_Rates!$C$7:$C$113,0),5)</f>
        <v>Subtransmission</v>
      </c>
      <c r="E53" s="23" t="str">
        <f>INDEX(Unit_Rates!$C$7:$K$113,MATCH($C53,Unit_Rates!$C$7:$C$113,0),6)</f>
        <v>Augmentation</v>
      </c>
      <c r="F53" s="23" t="str">
        <f t="shared" si="5"/>
        <v>SubtransmissionAugmentation</v>
      </c>
      <c r="G53" s="179">
        <f>INDEX(Unit_Rates!$C$7:$K$113,MATCH($C53,Unit_Rates!$C$7:$C$113,0),7)</f>
        <v>4.9999999999999996E-2</v>
      </c>
      <c r="H53" s="171"/>
      <c r="I53" s="123" t="s">
        <v>295</v>
      </c>
      <c r="J53" s="165"/>
      <c r="K53" s="172">
        <f t="shared" si="11"/>
        <v>0</v>
      </c>
      <c r="L53" s="173">
        <f t="shared" si="3"/>
        <v>0</v>
      </c>
      <c r="M53" s="174"/>
      <c r="N53" s="448"/>
      <c r="O53" s="448"/>
      <c r="P53" s="449"/>
      <c r="Q53" s="314">
        <f>P53-H53*VLOOKUP(C53,Unit_Rates!$C$7:$E$113,3,FALSE)</f>
        <v>0</v>
      </c>
      <c r="R53" s="134">
        <v>0</v>
      </c>
      <c r="S53" s="134">
        <v>0</v>
      </c>
      <c r="T53" s="134">
        <v>0</v>
      </c>
      <c r="U53" s="134">
        <v>0</v>
      </c>
      <c r="V53" s="134">
        <v>0</v>
      </c>
      <c r="W53" s="134">
        <v>0</v>
      </c>
      <c r="X53" s="134">
        <v>0</v>
      </c>
      <c r="Y53" s="304">
        <f t="shared" si="4"/>
        <v>0</v>
      </c>
      <c r="AK53" s="358"/>
      <c r="AL53" s="358"/>
    </row>
    <row r="54" spans="2:38" x14ac:dyDescent="0.25">
      <c r="B54" s="84"/>
      <c r="C54" s="23" t="s">
        <v>25</v>
      </c>
      <c r="D54" t="s">
        <v>3</v>
      </c>
      <c r="E54" t="s">
        <v>27</v>
      </c>
      <c r="F54" s="23" t="str">
        <f t="shared" si="5"/>
        <v>SubtransmissionAugmentation</v>
      </c>
      <c r="G54" s="170">
        <v>15.088856666666667</v>
      </c>
      <c r="H54" s="171">
        <v>12</v>
      </c>
      <c r="I54" s="123" t="s">
        <v>294</v>
      </c>
      <c r="J54" s="165"/>
      <c r="K54" s="172">
        <f t="shared" si="11"/>
        <v>181.06628000000001</v>
      </c>
      <c r="L54" s="173">
        <f t="shared" si="3"/>
        <v>0</v>
      </c>
      <c r="M54" s="174"/>
      <c r="N54" s="448"/>
      <c r="O54" s="451"/>
      <c r="P54" s="449"/>
      <c r="Q54" s="152"/>
      <c r="R54" s="134">
        <v>0</v>
      </c>
      <c r="S54" s="134">
        <v>0</v>
      </c>
      <c r="T54" s="134">
        <v>0</v>
      </c>
      <c r="U54" s="134">
        <v>0</v>
      </c>
      <c r="V54" s="134">
        <v>0</v>
      </c>
      <c r="W54" s="134">
        <v>0</v>
      </c>
      <c r="X54" s="134">
        <v>0</v>
      </c>
      <c r="Y54" s="304">
        <f t="shared" si="4"/>
        <v>0</v>
      </c>
      <c r="AK54" s="358"/>
      <c r="AL54" s="358"/>
    </row>
    <row r="55" spans="2:38" x14ac:dyDescent="0.25">
      <c r="B55" s="84"/>
      <c r="C55" s="23" t="s">
        <v>337</v>
      </c>
      <c r="D55" s="23" t="str">
        <f>INDEX(Unit_Rates!$C$7:$K$113,MATCH($C55,Unit_Rates!$C$7:$C$113,0),5)</f>
        <v>Subtransmission</v>
      </c>
      <c r="E55" s="23" t="str">
        <f>INDEX(Unit_Rates!$C$7:$K$113,MATCH($C55,Unit_Rates!$C$7:$C$113,0),6)</f>
        <v>Augmentation</v>
      </c>
      <c r="F55" s="23" t="str">
        <f t="shared" si="5"/>
        <v>SubtransmissionAugmentation</v>
      </c>
      <c r="G55" s="170">
        <f>INDEX(Unit_Rates!$C$7:$K$113,MATCH($C55,Unit_Rates!$C$7:$C$113,0),7)</f>
        <v>465.78000000000003</v>
      </c>
      <c r="H55" s="171">
        <v>1</v>
      </c>
      <c r="I55" s="123" t="s">
        <v>294</v>
      </c>
      <c r="J55" s="165"/>
      <c r="K55" s="172">
        <f t="shared" si="11"/>
        <v>465.78000000000003</v>
      </c>
      <c r="L55" s="173">
        <f t="shared" si="3"/>
        <v>0</v>
      </c>
      <c r="M55" s="174"/>
      <c r="N55" s="448"/>
      <c r="O55" s="448"/>
      <c r="P55" s="449"/>
      <c r="Q55" s="314">
        <f>P55-H55*VLOOKUP(C55,Unit_Rates!$C$7:$E$113,3,FALSE)</f>
        <v>0</v>
      </c>
      <c r="R55" s="134">
        <v>0</v>
      </c>
      <c r="S55" s="134">
        <v>0</v>
      </c>
      <c r="T55" s="134">
        <v>0</v>
      </c>
      <c r="U55" s="134">
        <v>0</v>
      </c>
      <c r="V55" s="134">
        <v>0</v>
      </c>
      <c r="W55" s="134">
        <v>0</v>
      </c>
      <c r="X55" s="134">
        <v>0</v>
      </c>
      <c r="Y55" s="304">
        <f t="shared" si="4"/>
        <v>0</v>
      </c>
      <c r="AK55" s="358"/>
      <c r="AL55" s="358"/>
    </row>
    <row r="56" spans="2:38" x14ac:dyDescent="0.25">
      <c r="B56" s="84"/>
      <c r="C56" s="23" t="s">
        <v>183</v>
      </c>
      <c r="D56" s="23" t="str">
        <f>INDEX(Unit_Rates!$C$7:$K$113,MATCH($C56,Unit_Rates!$C$7:$C$113,0),5)</f>
        <v>Subtransmission</v>
      </c>
      <c r="E56" s="23" t="str">
        <f>INDEX(Unit_Rates!$C$7:$K$113,MATCH($C56,Unit_Rates!$C$7:$C$113,0),6)</f>
        <v>Augmentation</v>
      </c>
      <c r="F56" s="23" t="str">
        <f t="shared" si="5"/>
        <v>SubtransmissionAugmentation</v>
      </c>
      <c r="G56" s="170">
        <f>INDEX(Unit_Rates!$C$7:$K$113,MATCH($C56,Unit_Rates!$C$7:$C$113,0),7)</f>
        <v>0</v>
      </c>
      <c r="H56" s="171"/>
      <c r="I56" s="123" t="s">
        <v>294</v>
      </c>
      <c r="J56" s="165"/>
      <c r="K56" s="172">
        <v>0</v>
      </c>
      <c r="L56" s="173">
        <f t="shared" si="3"/>
        <v>0</v>
      </c>
      <c r="M56" s="174"/>
      <c r="N56" s="448"/>
      <c r="O56" s="448"/>
      <c r="P56" s="449"/>
      <c r="Q56" s="314">
        <f>P56-H56*VLOOKUP(C56,Unit_Rates!$C$7:$E$113,3,FALSE)</f>
        <v>0</v>
      </c>
      <c r="R56" s="134">
        <v>0</v>
      </c>
      <c r="S56" s="134">
        <v>0</v>
      </c>
      <c r="T56" s="134">
        <v>0</v>
      </c>
      <c r="U56" s="134">
        <v>0</v>
      </c>
      <c r="V56" s="134">
        <v>0</v>
      </c>
      <c r="W56" s="134">
        <v>0</v>
      </c>
      <c r="X56" s="134">
        <v>0</v>
      </c>
      <c r="Y56" s="304">
        <f t="shared" si="4"/>
        <v>0</v>
      </c>
      <c r="AK56" s="358"/>
      <c r="AL56" s="358"/>
    </row>
    <row r="57" spans="2:38" x14ac:dyDescent="0.25">
      <c r="B57" s="84"/>
      <c r="G57" s="170"/>
      <c r="H57" s="171"/>
      <c r="I57" s="167"/>
      <c r="J57" s="165"/>
      <c r="K57" s="149"/>
      <c r="L57" s="167"/>
      <c r="M57" s="169"/>
      <c r="N57" s="168"/>
      <c r="O57" s="168"/>
      <c r="P57" s="169"/>
      <c r="Q57" s="152"/>
      <c r="R57" s="134">
        <v>0</v>
      </c>
      <c r="S57" s="134">
        <v>0</v>
      </c>
      <c r="T57" s="134">
        <v>0</v>
      </c>
      <c r="U57" s="134">
        <v>0</v>
      </c>
      <c r="V57" s="134">
        <v>0</v>
      </c>
      <c r="W57" s="134">
        <v>0</v>
      </c>
      <c r="X57" s="134">
        <v>0</v>
      </c>
      <c r="Y57" s="304">
        <f t="shared" si="4"/>
        <v>0</v>
      </c>
      <c r="AK57" s="358"/>
      <c r="AL57" s="358"/>
    </row>
    <row r="58" spans="2:38" x14ac:dyDescent="0.25">
      <c r="B58" s="120" t="s">
        <v>296</v>
      </c>
      <c r="G58" s="170"/>
      <c r="H58" s="171"/>
      <c r="I58" s="123"/>
      <c r="J58" s="153"/>
      <c r="K58" s="172"/>
      <c r="L58" s="172"/>
      <c r="M58" s="181"/>
      <c r="N58" s="182"/>
      <c r="O58" s="181"/>
      <c r="P58" s="126"/>
      <c r="Q58" s="152"/>
      <c r="R58" s="134">
        <v>0</v>
      </c>
      <c r="S58" s="134">
        <v>0</v>
      </c>
      <c r="T58" s="134">
        <v>0</v>
      </c>
      <c r="U58" s="134">
        <v>0</v>
      </c>
      <c r="V58" s="134">
        <v>0</v>
      </c>
      <c r="W58" s="134">
        <v>0</v>
      </c>
      <c r="X58" s="134">
        <v>0</v>
      </c>
      <c r="Y58" s="304">
        <f t="shared" ref="Y58:Y70" si="20">SUM(R58:X58)</f>
        <v>0</v>
      </c>
      <c r="AK58" s="358"/>
      <c r="AL58" s="358"/>
    </row>
    <row r="59" spans="2:38" x14ac:dyDescent="0.25">
      <c r="B59" s="84"/>
      <c r="C59" s="23" t="s">
        <v>348</v>
      </c>
      <c r="D59" s="23" t="str">
        <f>INDEX(Unit_Rates!$C$7:$K$113,MATCH($C59,Unit_Rates!$C$7:$C$113,0),5)</f>
        <v>SCADA/Network control</v>
      </c>
      <c r="E59" s="23" t="str">
        <f>INDEX(Unit_Rates!$C$7:$K$113,MATCH($C59,Unit_Rates!$C$7:$C$113,0),6)</f>
        <v>Augmentation</v>
      </c>
      <c r="F59" s="23" t="str">
        <f t="shared" ref="F59:F70" si="21">D59&amp;E59</f>
        <v>SCADA/Network controlAugmentation</v>
      </c>
      <c r="G59" s="170">
        <f>INDEX(Unit_Rates!$C$7:$K$113,MATCH($C59,Unit_Rates!$C$7:$C$113,0),7)</f>
        <v>76.729563200000001</v>
      </c>
      <c r="H59" s="171"/>
      <c r="I59" s="123" t="s">
        <v>294</v>
      </c>
      <c r="J59" s="165"/>
      <c r="K59" s="172">
        <f>G59*H59</f>
        <v>0</v>
      </c>
      <c r="L59" s="172">
        <f t="shared" ref="L59:L70" si="22">SUMPRODUCT(R$5:X$5,R59:X59)/Thousands</f>
        <v>0</v>
      </c>
      <c r="M59" s="151"/>
      <c r="N59" s="448"/>
      <c r="O59" s="448"/>
      <c r="P59" s="449"/>
      <c r="Q59" s="314">
        <f>P59-H59*VLOOKUP(C59,Unit_Rates!$C$58:$E$113,3,FALSE)</f>
        <v>0</v>
      </c>
      <c r="R59" s="134">
        <v>0</v>
      </c>
      <c r="S59" s="134">
        <v>0</v>
      </c>
      <c r="T59" s="134">
        <v>0</v>
      </c>
      <c r="U59" s="134">
        <v>0</v>
      </c>
      <c r="V59" s="134">
        <v>0</v>
      </c>
      <c r="W59" s="134">
        <v>0</v>
      </c>
      <c r="X59" s="134">
        <v>0</v>
      </c>
      <c r="Y59" s="304">
        <f t="shared" si="20"/>
        <v>0</v>
      </c>
      <c r="AK59" s="358"/>
      <c r="AL59" s="358"/>
    </row>
    <row r="60" spans="2:38" x14ac:dyDescent="0.25">
      <c r="B60" s="84"/>
      <c r="C60" s="23" t="s">
        <v>349</v>
      </c>
      <c r="D60" s="23" t="str">
        <f>INDEX(Unit_Rates!$C$7:$K$113,MATCH($C60,Unit_Rates!$C$7:$C$113,0),5)</f>
        <v>SCADA/Network control</v>
      </c>
      <c r="E60" s="23" t="str">
        <f>INDEX(Unit_Rates!$C$7:$K$113,MATCH($C60,Unit_Rates!$C$7:$C$113,0),6)</f>
        <v>Augmentation</v>
      </c>
      <c r="F60" s="23" t="str">
        <f t="shared" si="21"/>
        <v>SCADA/Network controlAugmentation</v>
      </c>
      <c r="G60" s="170">
        <f>INDEX(Unit_Rates!$C$7:$K$113,MATCH($C60,Unit_Rates!$C$7:$C$113,0),7)</f>
        <v>223.65781870000001</v>
      </c>
      <c r="H60" s="171"/>
      <c r="I60" s="123" t="s">
        <v>294</v>
      </c>
      <c r="J60" s="165"/>
      <c r="K60" s="172">
        <f>G60*H60</f>
        <v>0</v>
      </c>
      <c r="L60" s="172">
        <f t="shared" si="22"/>
        <v>0</v>
      </c>
      <c r="M60" s="151"/>
      <c r="N60" s="448"/>
      <c r="O60" s="448"/>
      <c r="P60" s="449"/>
      <c r="Q60" s="314">
        <f>P60-H60*VLOOKUP(C60,Unit_Rates!$C$58:$E$113,3,FALSE)</f>
        <v>0</v>
      </c>
      <c r="R60" s="134">
        <v>0</v>
      </c>
      <c r="S60" s="134">
        <v>0</v>
      </c>
      <c r="T60" s="134">
        <v>0</v>
      </c>
      <c r="U60" s="134">
        <v>0</v>
      </c>
      <c r="V60" s="134">
        <v>0</v>
      </c>
      <c r="W60" s="134">
        <v>0</v>
      </c>
      <c r="X60" s="134">
        <v>0</v>
      </c>
      <c r="Y60" s="304">
        <f t="shared" si="20"/>
        <v>0</v>
      </c>
      <c r="AK60" s="358"/>
      <c r="AL60" s="358"/>
    </row>
    <row r="61" spans="2:38" x14ac:dyDescent="0.25">
      <c r="B61" s="84"/>
      <c r="C61" s="23" t="s">
        <v>350</v>
      </c>
      <c r="D61" s="23" t="str">
        <f>INDEX(Unit_Rates!$C$7:$K$113,MATCH($C61,Unit_Rates!$C$7:$C$113,0),5)</f>
        <v>SCADA/Network control</v>
      </c>
      <c r="E61" s="23" t="str">
        <f>INDEX(Unit_Rates!$C$7:$K$113,MATCH($C61,Unit_Rates!$C$7:$C$113,0),6)</f>
        <v>Augmentation</v>
      </c>
      <c r="F61" s="23" t="str">
        <f t="shared" si="21"/>
        <v>SCADA/Network controlAugmentation</v>
      </c>
      <c r="G61" s="170">
        <f>INDEX(Unit_Rates!$C$7:$K$113,MATCH($C61,Unit_Rates!$C$7:$C$113,0),7)</f>
        <v>252.11545104999999</v>
      </c>
      <c r="H61" s="171"/>
      <c r="I61" s="123" t="s">
        <v>294</v>
      </c>
      <c r="J61" s="165"/>
      <c r="K61" s="172">
        <f t="shared" ref="K61:K66" si="23">G61*H61</f>
        <v>0</v>
      </c>
      <c r="L61" s="172">
        <f t="shared" si="22"/>
        <v>0</v>
      </c>
      <c r="M61" s="151"/>
      <c r="N61" s="448"/>
      <c r="O61" s="448"/>
      <c r="P61" s="449"/>
      <c r="Q61" s="314">
        <f>P61-H61*VLOOKUP(C61,Unit_Rates!$C$58:$E$113,3,FALSE)</f>
        <v>0</v>
      </c>
      <c r="R61" s="134">
        <v>0</v>
      </c>
      <c r="S61" s="134">
        <v>0</v>
      </c>
      <c r="T61" s="134">
        <v>0</v>
      </c>
      <c r="U61" s="134">
        <v>0</v>
      </c>
      <c r="V61" s="134">
        <v>0</v>
      </c>
      <c r="W61" s="134">
        <v>0</v>
      </c>
      <c r="X61" s="134">
        <v>0</v>
      </c>
      <c r="Y61" s="304">
        <f t="shared" si="20"/>
        <v>0</v>
      </c>
      <c r="AK61" s="358"/>
      <c r="AL61" s="358"/>
    </row>
    <row r="62" spans="2:38" x14ac:dyDescent="0.25">
      <c r="B62" s="84"/>
      <c r="C62" s="23" t="s">
        <v>187</v>
      </c>
      <c r="D62" s="23" t="str">
        <f>INDEX(Unit_Rates!$C$7:$K$113,MATCH($C62,Unit_Rates!$C$7:$C$113,0),5)</f>
        <v>SCADA/Network control</v>
      </c>
      <c r="E62" s="23" t="str">
        <f>INDEX(Unit_Rates!$C$7:$K$113,MATCH($C62,Unit_Rates!$C$7:$C$113,0),6)</f>
        <v>Augmentation</v>
      </c>
      <c r="F62" s="23" t="str">
        <f t="shared" ref="F62:F63" si="24">D62&amp;E62</f>
        <v>SCADA/Network controlAugmentation</v>
      </c>
      <c r="G62" s="170">
        <f>INDEX(Unit_Rates!$C$7:$K$113,MATCH($C62,Unit_Rates!$C$7:$C$113,0),7)</f>
        <v>48.982274401473298</v>
      </c>
      <c r="H62" s="171">
        <v>1</v>
      </c>
      <c r="I62" s="123" t="s">
        <v>294</v>
      </c>
      <c r="J62" s="165"/>
      <c r="K62" s="172">
        <f t="shared" ref="K62" si="25">G62*H62</f>
        <v>48.982274401473298</v>
      </c>
      <c r="L62" s="172">
        <f t="shared" ref="L62" si="26">SUMPRODUCT(R$5:X$5,R62:X62)/Thousands</f>
        <v>0</v>
      </c>
      <c r="M62" s="151"/>
      <c r="N62" s="448"/>
      <c r="O62" s="448"/>
      <c r="P62" s="449"/>
      <c r="Q62" s="314">
        <f>P62-H62*VLOOKUP(C62,Unit_Rates!$C$58:$E$113,3,FALSE)</f>
        <v>0</v>
      </c>
      <c r="R62" s="134">
        <v>0</v>
      </c>
      <c r="S62" s="134">
        <v>0</v>
      </c>
      <c r="T62" s="134">
        <v>0</v>
      </c>
      <c r="U62" s="134">
        <v>0</v>
      </c>
      <c r="V62" s="134">
        <v>0</v>
      </c>
      <c r="W62" s="134">
        <v>0</v>
      </c>
      <c r="X62" s="134">
        <v>0</v>
      </c>
      <c r="Y62" s="304">
        <f t="shared" si="20"/>
        <v>0</v>
      </c>
      <c r="AK62" s="358"/>
      <c r="AL62" s="358"/>
    </row>
    <row r="63" spans="2:38" x14ac:dyDescent="0.25">
      <c r="B63" s="84"/>
      <c r="C63" s="23" t="s">
        <v>190</v>
      </c>
      <c r="D63" s="23" t="str">
        <f>INDEX(Unit_Rates!$C$7:$K$113,MATCH($C63,Unit_Rates!$C$7:$C$113,0),5)</f>
        <v>SCADA/Network control</v>
      </c>
      <c r="E63" s="23" t="str">
        <f>INDEX(Unit_Rates!$C$7:$K$113,MATCH($C63,Unit_Rates!$C$7:$C$113,0),6)</f>
        <v>Augmentation</v>
      </c>
      <c r="F63" s="23" t="str">
        <f t="shared" si="24"/>
        <v>SCADA/Network controlAugmentation</v>
      </c>
      <c r="G63" s="170">
        <f>INDEX(Unit_Rates!$C$7:$K$113,MATCH($C63,Unit_Rates!$C$7:$C$113,0),7)</f>
        <v>6.2430939226519344</v>
      </c>
      <c r="H63" s="171"/>
      <c r="I63" s="123" t="s">
        <v>294</v>
      </c>
      <c r="J63" s="165"/>
      <c r="K63" s="172">
        <f t="shared" ref="K63" si="27">G63*H63</f>
        <v>0</v>
      </c>
      <c r="L63" s="172">
        <f t="shared" ref="L63" si="28">SUMPRODUCT(R$5:X$5,R63:X63)/Thousands</f>
        <v>0</v>
      </c>
      <c r="M63" s="151"/>
      <c r="N63" s="448"/>
      <c r="O63" s="448"/>
      <c r="P63" s="449"/>
      <c r="Q63" s="314">
        <f>P63-H63*VLOOKUP(C63,Unit_Rates!$C$58:$E$113,3,FALSE)</f>
        <v>0</v>
      </c>
      <c r="R63" s="134">
        <v>0</v>
      </c>
      <c r="S63" s="134">
        <v>0</v>
      </c>
      <c r="T63" s="134">
        <v>0</v>
      </c>
      <c r="U63" s="134">
        <v>0</v>
      </c>
      <c r="V63" s="134">
        <v>0</v>
      </c>
      <c r="W63" s="134">
        <v>0</v>
      </c>
      <c r="X63" s="134">
        <v>0</v>
      </c>
      <c r="Y63" s="304">
        <f t="shared" si="20"/>
        <v>0</v>
      </c>
      <c r="AK63" s="358"/>
      <c r="AL63" s="358"/>
    </row>
    <row r="64" spans="2:38" x14ac:dyDescent="0.25">
      <c r="B64" s="84"/>
      <c r="C64" s="23" t="s">
        <v>193</v>
      </c>
      <c r="D64" s="23" t="str">
        <f>INDEX(Unit_Rates!$C$7:$K$113,MATCH($C64,Unit_Rates!$C$7:$C$113,0),5)</f>
        <v>SCADA/Network control</v>
      </c>
      <c r="E64" s="23" t="str">
        <f>INDEX(Unit_Rates!$C$7:$K$113,MATCH($C64,Unit_Rates!$C$7:$C$113,0),6)</f>
        <v>Augmentation</v>
      </c>
      <c r="F64" s="23" t="str">
        <f t="shared" si="21"/>
        <v>SCADA/Network controlAugmentation</v>
      </c>
      <c r="G64" s="170">
        <f>INDEX(Unit_Rates!$C$7:$K$113,MATCH($C64,Unit_Rates!$C$7:$C$113,0),7)</f>
        <v>98.007730202578273</v>
      </c>
      <c r="H64" s="171"/>
      <c r="I64" s="123" t="s">
        <v>294</v>
      </c>
      <c r="J64" s="165"/>
      <c r="K64" s="172">
        <f t="shared" si="23"/>
        <v>0</v>
      </c>
      <c r="L64" s="172">
        <f t="shared" si="22"/>
        <v>0</v>
      </c>
      <c r="M64" s="151"/>
      <c r="N64" s="448"/>
      <c r="O64" s="448"/>
      <c r="P64" s="449"/>
      <c r="Q64" s="314">
        <f>P64-H64*VLOOKUP(C64,Unit_Rates!$C$58:$E$113,3,FALSE)</f>
        <v>0</v>
      </c>
      <c r="R64" s="134">
        <v>0</v>
      </c>
      <c r="S64" s="134">
        <v>0</v>
      </c>
      <c r="T64" s="134">
        <v>0</v>
      </c>
      <c r="U64" s="134">
        <v>0</v>
      </c>
      <c r="V64" s="134">
        <v>0</v>
      </c>
      <c r="W64" s="134">
        <v>0</v>
      </c>
      <c r="X64" s="134">
        <v>0</v>
      </c>
      <c r="Y64" s="304">
        <f t="shared" si="20"/>
        <v>0</v>
      </c>
      <c r="AK64" s="358"/>
      <c r="AL64" s="358"/>
    </row>
    <row r="65" spans="2:38" x14ac:dyDescent="0.25">
      <c r="B65" s="84"/>
      <c r="C65" s="23" t="s">
        <v>297</v>
      </c>
      <c r="D65" t="s">
        <v>2</v>
      </c>
      <c r="E65" t="s">
        <v>27</v>
      </c>
      <c r="F65" t="s">
        <v>31</v>
      </c>
      <c r="G65" s="184">
        <v>1.5</v>
      </c>
      <c r="H65" s="171">
        <v>22</v>
      </c>
      <c r="I65" s="123" t="s">
        <v>294</v>
      </c>
      <c r="J65" s="165"/>
      <c r="K65" s="172">
        <f t="shared" si="23"/>
        <v>33</v>
      </c>
      <c r="L65" s="172">
        <f t="shared" si="22"/>
        <v>0</v>
      </c>
      <c r="M65" s="151"/>
      <c r="N65" s="448"/>
      <c r="O65" s="448"/>
      <c r="P65" s="449"/>
      <c r="Q65" s="152"/>
      <c r="R65" s="134">
        <v>0</v>
      </c>
      <c r="S65" s="134">
        <v>0</v>
      </c>
      <c r="T65" s="134">
        <v>0</v>
      </c>
      <c r="U65" s="134">
        <v>0</v>
      </c>
      <c r="V65" s="134">
        <v>0</v>
      </c>
      <c r="W65" s="134">
        <v>0</v>
      </c>
      <c r="X65" s="134">
        <v>0</v>
      </c>
      <c r="Y65" s="304">
        <f t="shared" si="20"/>
        <v>0</v>
      </c>
      <c r="AK65" s="358"/>
      <c r="AL65" s="358"/>
    </row>
    <row r="66" spans="2:38" x14ac:dyDescent="0.25">
      <c r="B66" s="84"/>
      <c r="C66" s="23" t="s">
        <v>205</v>
      </c>
      <c r="D66" t="s">
        <v>2</v>
      </c>
      <c r="E66" t="s">
        <v>27</v>
      </c>
      <c r="F66" t="s">
        <v>31</v>
      </c>
      <c r="G66" s="170">
        <f>INDEX(Unit_Rates!$C$7:$K$113,MATCH($C66,Unit_Rates!$C$7:$C$113,0),7)</f>
        <v>92.239631675874776</v>
      </c>
      <c r="H66" s="171"/>
      <c r="I66" s="123" t="s">
        <v>294</v>
      </c>
      <c r="J66" s="165"/>
      <c r="K66" s="172">
        <f t="shared" si="23"/>
        <v>0</v>
      </c>
      <c r="L66" s="172">
        <f t="shared" si="22"/>
        <v>0</v>
      </c>
      <c r="M66" s="151"/>
      <c r="N66" s="448"/>
      <c r="O66" s="448"/>
      <c r="P66" s="449"/>
      <c r="Q66" s="314">
        <f>P66-H66*VLOOKUP(C66,Unit_Rates!$C$58:$E$113,3,FALSE)</f>
        <v>0</v>
      </c>
      <c r="R66" s="134">
        <v>0</v>
      </c>
      <c r="S66" s="134">
        <v>0</v>
      </c>
      <c r="T66" s="134">
        <v>0</v>
      </c>
      <c r="U66" s="134">
        <v>0</v>
      </c>
      <c r="V66" s="134">
        <v>0</v>
      </c>
      <c r="W66" s="134">
        <v>0</v>
      </c>
      <c r="X66" s="134">
        <v>0</v>
      </c>
      <c r="Y66" s="304">
        <f t="shared" si="20"/>
        <v>0</v>
      </c>
      <c r="AK66" s="358"/>
      <c r="AL66" s="358"/>
    </row>
    <row r="67" spans="2:38" x14ac:dyDescent="0.25">
      <c r="B67" s="84"/>
      <c r="C67" s="23" t="s">
        <v>298</v>
      </c>
      <c r="D67" t="s">
        <v>2</v>
      </c>
      <c r="E67" t="s">
        <v>27</v>
      </c>
      <c r="F67" s="23" t="str">
        <f t="shared" si="21"/>
        <v>SCADA/Network controlAugmentation</v>
      </c>
      <c r="G67" s="184">
        <v>24.579044860000003</v>
      </c>
      <c r="H67" s="171">
        <v>5</v>
      </c>
      <c r="I67" s="123" t="s">
        <v>294</v>
      </c>
      <c r="J67" s="165"/>
      <c r="K67" s="172">
        <f>G67*H67</f>
        <v>122.89522430000002</v>
      </c>
      <c r="L67" s="172">
        <f t="shared" si="22"/>
        <v>0</v>
      </c>
      <c r="M67" s="151"/>
      <c r="N67" s="448"/>
      <c r="O67" s="448"/>
      <c r="P67" s="449"/>
      <c r="Q67" s="152"/>
      <c r="R67" s="134">
        <v>0</v>
      </c>
      <c r="S67" s="134">
        <v>0</v>
      </c>
      <c r="T67" s="134">
        <v>0</v>
      </c>
      <c r="U67" s="134">
        <v>0</v>
      </c>
      <c r="V67" s="134">
        <v>0</v>
      </c>
      <c r="W67" s="134">
        <v>0</v>
      </c>
      <c r="X67" s="134">
        <v>0</v>
      </c>
      <c r="Y67" s="304">
        <f t="shared" si="20"/>
        <v>0</v>
      </c>
      <c r="AK67" s="358"/>
      <c r="AL67" s="358"/>
    </row>
    <row r="68" spans="2:38" x14ac:dyDescent="0.25">
      <c r="B68" s="120" t="s">
        <v>299</v>
      </c>
      <c r="D68" t="s">
        <v>3</v>
      </c>
      <c r="E68" t="s">
        <v>27</v>
      </c>
      <c r="F68" s="23" t="str">
        <f t="shared" si="21"/>
        <v>SubtransmissionAugmentation</v>
      </c>
      <c r="G68" s="185">
        <v>30.915804766666668</v>
      </c>
      <c r="H68" s="171"/>
      <c r="I68" s="123" t="s">
        <v>294</v>
      </c>
      <c r="J68" s="165"/>
      <c r="K68" s="172">
        <f>G68*H68</f>
        <v>0</v>
      </c>
      <c r="L68" s="172">
        <f t="shared" si="22"/>
        <v>0</v>
      </c>
      <c r="M68" s="151"/>
      <c r="N68" s="448"/>
      <c r="O68" s="448"/>
      <c r="P68" s="449"/>
      <c r="Q68" s="152"/>
      <c r="R68" s="134">
        <v>0</v>
      </c>
      <c r="S68" s="134">
        <v>0</v>
      </c>
      <c r="T68" s="134">
        <v>0</v>
      </c>
      <c r="U68" s="134">
        <v>0</v>
      </c>
      <c r="V68" s="134">
        <v>0</v>
      </c>
      <c r="W68" s="134">
        <v>0</v>
      </c>
      <c r="X68" s="134">
        <v>0</v>
      </c>
      <c r="Y68" s="304">
        <f t="shared" si="20"/>
        <v>0</v>
      </c>
      <c r="AK68" s="358"/>
      <c r="AL68" s="358"/>
    </row>
    <row r="69" spans="2:38" x14ac:dyDescent="0.25">
      <c r="B69" s="120" t="s">
        <v>347</v>
      </c>
      <c r="D69" t="s">
        <v>3</v>
      </c>
      <c r="E69" t="s">
        <v>27</v>
      </c>
      <c r="F69" s="23" t="str">
        <f t="shared" si="21"/>
        <v>SubtransmissionAugmentation</v>
      </c>
      <c r="G69" s="185">
        <v>4.5</v>
      </c>
      <c r="H69" s="171"/>
      <c r="I69" s="123" t="s">
        <v>294</v>
      </c>
      <c r="J69" s="165"/>
      <c r="K69" s="172">
        <f>G69*H69</f>
        <v>0</v>
      </c>
      <c r="L69" s="172">
        <f t="shared" si="22"/>
        <v>0</v>
      </c>
      <c r="M69" s="151"/>
      <c r="N69" s="448"/>
      <c r="O69" s="448"/>
      <c r="P69" s="449"/>
      <c r="Q69" s="152"/>
      <c r="R69" s="134">
        <v>0</v>
      </c>
      <c r="S69" s="134">
        <v>0</v>
      </c>
      <c r="T69" s="134">
        <v>0</v>
      </c>
      <c r="U69" s="134">
        <v>0</v>
      </c>
      <c r="V69" s="134">
        <v>0</v>
      </c>
      <c r="W69" s="134">
        <v>0</v>
      </c>
      <c r="X69" s="134">
        <v>0</v>
      </c>
      <c r="Y69" s="304">
        <f t="shared" si="20"/>
        <v>0</v>
      </c>
      <c r="AK69" s="358"/>
      <c r="AL69" s="358"/>
    </row>
    <row r="70" spans="2:38" x14ac:dyDescent="0.25">
      <c r="B70" s="120" t="s">
        <v>346</v>
      </c>
      <c r="D70" t="s">
        <v>3</v>
      </c>
      <c r="E70" t="s">
        <v>27</v>
      </c>
      <c r="F70" s="23" t="str">
        <f t="shared" si="21"/>
        <v>SubtransmissionAugmentation</v>
      </c>
      <c r="G70" s="185">
        <v>6</v>
      </c>
      <c r="H70" s="171">
        <v>1</v>
      </c>
      <c r="I70" s="123" t="s">
        <v>294</v>
      </c>
      <c r="J70" s="165"/>
      <c r="K70" s="172">
        <f>G70*H70</f>
        <v>6</v>
      </c>
      <c r="L70" s="172">
        <f t="shared" si="22"/>
        <v>0</v>
      </c>
      <c r="M70" s="151"/>
      <c r="N70" s="448"/>
      <c r="O70" s="448"/>
      <c r="P70" s="449"/>
      <c r="Q70" s="152"/>
      <c r="R70" s="134">
        <v>0</v>
      </c>
      <c r="S70" s="134">
        <v>0</v>
      </c>
      <c r="T70" s="134">
        <v>0</v>
      </c>
      <c r="U70" s="134">
        <v>0</v>
      </c>
      <c r="V70" s="134">
        <v>0</v>
      </c>
      <c r="W70" s="134">
        <v>0</v>
      </c>
      <c r="X70" s="134">
        <v>0</v>
      </c>
      <c r="Y70" s="304">
        <f t="shared" si="20"/>
        <v>0</v>
      </c>
      <c r="AK70" s="358"/>
      <c r="AL70" s="358"/>
    </row>
    <row r="71" spans="2:38" x14ac:dyDescent="0.25">
      <c r="B71" s="120" t="s">
        <v>300</v>
      </c>
      <c r="G71" s="169"/>
      <c r="H71" s="186"/>
      <c r="I71" s="167"/>
      <c r="K71" s="149"/>
      <c r="L71" s="149"/>
      <c r="M71" s="168"/>
      <c r="N71" s="125"/>
      <c r="O71" s="168"/>
      <c r="P71" s="126"/>
      <c r="Q71" s="152"/>
      <c r="R71" s="134">
        <v>0</v>
      </c>
      <c r="S71" s="134">
        <v>0</v>
      </c>
      <c r="T71" s="134">
        <v>0</v>
      </c>
      <c r="U71" s="134">
        <v>0</v>
      </c>
      <c r="V71" s="134">
        <v>0</v>
      </c>
      <c r="W71" s="134">
        <v>0</v>
      </c>
      <c r="X71" s="134">
        <v>0</v>
      </c>
      <c r="Y71" s="304">
        <f t="shared" ref="Y71:Y77" si="29">SUM(R71:X71)</f>
        <v>0</v>
      </c>
      <c r="AK71" s="358"/>
      <c r="AL71" s="358"/>
    </row>
    <row r="72" spans="2:38" x14ac:dyDescent="0.25">
      <c r="B72" s="84"/>
      <c r="C72" s="23" t="s">
        <v>345</v>
      </c>
      <c r="D72" t="s">
        <v>3</v>
      </c>
      <c r="E72" t="s">
        <v>27</v>
      </c>
      <c r="F72" s="23" t="str">
        <f t="shared" ref="F72:F77" si="30">D72&amp;E72</f>
        <v>SubtransmissionAugmentation</v>
      </c>
      <c r="G72" s="185">
        <v>0</v>
      </c>
      <c r="H72" s="171">
        <v>1</v>
      </c>
      <c r="I72" s="123" t="s">
        <v>294</v>
      </c>
      <c r="K72" s="172">
        <f>G72*H72</f>
        <v>0</v>
      </c>
      <c r="L72" s="172">
        <f t="shared" ref="L72:L77" si="31">SUMPRODUCT(R$5:X$5,R72:X72)/Thousands</f>
        <v>0</v>
      </c>
      <c r="M72" s="151"/>
      <c r="N72" s="448"/>
      <c r="O72" s="448"/>
      <c r="P72" s="449"/>
      <c r="Q72" s="152"/>
      <c r="R72" s="134">
        <v>0</v>
      </c>
      <c r="S72" s="134">
        <v>0</v>
      </c>
      <c r="T72" s="134">
        <v>0</v>
      </c>
      <c r="U72" s="134">
        <v>0</v>
      </c>
      <c r="V72" s="134">
        <v>0</v>
      </c>
      <c r="W72" s="134">
        <v>0</v>
      </c>
      <c r="X72" s="134">
        <v>0</v>
      </c>
      <c r="Y72" s="304">
        <f t="shared" si="29"/>
        <v>0</v>
      </c>
      <c r="AK72" s="358"/>
      <c r="AL72" s="358"/>
    </row>
    <row r="73" spans="2:38" x14ac:dyDescent="0.25">
      <c r="B73" s="84"/>
      <c r="C73" s="23" t="s">
        <v>344</v>
      </c>
      <c r="D73" t="s">
        <v>3</v>
      </c>
      <c r="E73" t="s">
        <v>27</v>
      </c>
      <c r="F73" s="23" t="str">
        <f t="shared" si="30"/>
        <v>SubtransmissionAugmentation</v>
      </c>
      <c r="G73" s="185">
        <v>0</v>
      </c>
      <c r="H73" s="171">
        <v>1</v>
      </c>
      <c r="I73" s="123" t="s">
        <v>294</v>
      </c>
      <c r="K73" s="172">
        <f>G73*H73</f>
        <v>0</v>
      </c>
      <c r="L73" s="172">
        <f t="shared" si="31"/>
        <v>0</v>
      </c>
      <c r="M73" s="151"/>
      <c r="N73" s="448"/>
      <c r="O73" s="448"/>
      <c r="P73" s="449"/>
      <c r="Q73" s="152"/>
      <c r="R73" s="134">
        <v>0</v>
      </c>
      <c r="S73" s="134">
        <v>0</v>
      </c>
      <c r="T73" s="134">
        <v>0</v>
      </c>
      <c r="U73" s="134">
        <v>0</v>
      </c>
      <c r="V73" s="134">
        <v>0</v>
      </c>
      <c r="W73" s="134">
        <v>0</v>
      </c>
      <c r="X73" s="134">
        <v>0</v>
      </c>
      <c r="Y73" s="304">
        <f t="shared" ref="Y73" si="32">SUM(R73:X73)</f>
        <v>0</v>
      </c>
      <c r="AK73" s="358"/>
      <c r="AL73" s="358"/>
    </row>
    <row r="74" spans="2:38" x14ac:dyDescent="0.25">
      <c r="B74" s="84"/>
      <c r="C74" s="23" t="s">
        <v>302</v>
      </c>
      <c r="D74" s="23" t="str">
        <f>Unit_Rates!G50</f>
        <v>Subtransmission</v>
      </c>
      <c r="E74" s="23" t="str">
        <f>Unit_Rates!H50</f>
        <v>Augmentation</v>
      </c>
      <c r="F74" s="23" t="str">
        <f t="shared" si="30"/>
        <v>SubtransmissionAugmentation</v>
      </c>
      <c r="G74" s="170">
        <f>Unit_Rates!$I$50</f>
        <v>131.39534883720927</v>
      </c>
      <c r="H74" s="171"/>
      <c r="I74" s="123" t="s">
        <v>294</v>
      </c>
      <c r="K74" s="172">
        <f>G74*H74</f>
        <v>0</v>
      </c>
      <c r="L74" s="172">
        <f t="shared" si="31"/>
        <v>0</v>
      </c>
      <c r="M74" s="151"/>
      <c r="N74" s="448"/>
      <c r="O74" s="448"/>
      <c r="P74" s="449"/>
      <c r="Q74" s="314">
        <f>P74-H74*VLOOKUP("Oil separator",Unit_Rates!$C$7:$E$51,3,FALSE)</f>
        <v>0</v>
      </c>
      <c r="R74" s="134">
        <v>0</v>
      </c>
      <c r="S74" s="134">
        <v>0</v>
      </c>
      <c r="T74" s="134">
        <v>0</v>
      </c>
      <c r="U74" s="134">
        <v>0</v>
      </c>
      <c r="V74" s="134">
        <v>0</v>
      </c>
      <c r="W74" s="134">
        <v>0</v>
      </c>
      <c r="X74" s="134">
        <v>0</v>
      </c>
      <c r="Y74" s="304">
        <f t="shared" si="29"/>
        <v>0</v>
      </c>
      <c r="AK74" s="358"/>
      <c r="AL74" s="358"/>
    </row>
    <row r="75" spans="2:38" x14ac:dyDescent="0.25">
      <c r="B75" s="84"/>
      <c r="C75" s="326" t="s">
        <v>303</v>
      </c>
      <c r="D75" t="s">
        <v>3</v>
      </c>
      <c r="E75" t="s">
        <v>27</v>
      </c>
      <c r="F75" s="23" t="str">
        <f t="shared" si="30"/>
        <v>SubtransmissionAugmentation</v>
      </c>
      <c r="G75" s="185">
        <v>0</v>
      </c>
      <c r="H75" s="171">
        <v>1</v>
      </c>
      <c r="I75" s="123" t="s">
        <v>294</v>
      </c>
      <c r="K75" s="172">
        <f>G75*H75</f>
        <v>0</v>
      </c>
      <c r="L75" s="172">
        <f t="shared" si="31"/>
        <v>0</v>
      </c>
      <c r="M75" s="151"/>
      <c r="N75" s="448"/>
      <c r="O75" s="448"/>
      <c r="P75" s="449"/>
      <c r="Q75" s="152"/>
      <c r="R75" s="134">
        <v>0</v>
      </c>
      <c r="S75" s="134">
        <v>0</v>
      </c>
      <c r="T75" s="134">
        <v>0</v>
      </c>
      <c r="U75" s="134">
        <v>0</v>
      </c>
      <c r="V75" s="134">
        <v>0</v>
      </c>
      <c r="W75" s="134">
        <v>0</v>
      </c>
      <c r="X75" s="134">
        <v>0</v>
      </c>
      <c r="Y75" s="304">
        <f t="shared" si="29"/>
        <v>0</v>
      </c>
      <c r="AK75" s="358"/>
      <c r="AL75" s="358"/>
    </row>
    <row r="76" spans="2:38" x14ac:dyDescent="0.25">
      <c r="B76" s="120" t="s">
        <v>304</v>
      </c>
      <c r="C76" s="326"/>
      <c r="D76" t="s">
        <v>3</v>
      </c>
      <c r="E76" t="s">
        <v>27</v>
      </c>
      <c r="F76" s="23" t="str">
        <f t="shared" si="30"/>
        <v>SubtransmissionAugmentation</v>
      </c>
      <c r="G76" s="170">
        <v>0</v>
      </c>
      <c r="H76" s="171">
        <v>1</v>
      </c>
      <c r="I76" s="123" t="s">
        <v>294</v>
      </c>
      <c r="K76" s="172">
        <f>G76*H76</f>
        <v>0</v>
      </c>
      <c r="L76" s="212">
        <f t="shared" si="31"/>
        <v>0</v>
      </c>
      <c r="M76" s="188"/>
      <c r="N76" s="448"/>
      <c r="O76" s="448"/>
      <c r="P76" s="449"/>
      <c r="Q76" s="152"/>
      <c r="R76" s="189"/>
      <c r="S76" s="189"/>
      <c r="T76" s="189"/>
      <c r="U76" s="189"/>
      <c r="V76" s="189"/>
      <c r="W76" s="189"/>
      <c r="X76" s="189"/>
      <c r="Y76" s="77"/>
      <c r="AK76" s="358"/>
      <c r="AL76" s="358"/>
    </row>
    <row r="77" spans="2:38" x14ac:dyDescent="0.25">
      <c r="B77" s="120" t="s">
        <v>305</v>
      </c>
      <c r="D77" t="s">
        <v>4</v>
      </c>
      <c r="E77" t="s">
        <v>29</v>
      </c>
      <c r="F77" s="23" t="str">
        <f t="shared" si="30"/>
        <v>LandNon-Network</v>
      </c>
      <c r="G77" s="170">
        <v>0</v>
      </c>
      <c r="H77" s="171"/>
      <c r="I77" s="123" t="s">
        <v>294</v>
      </c>
      <c r="K77" s="212">
        <v>0</v>
      </c>
      <c r="L77" s="212">
        <f t="shared" si="31"/>
        <v>0</v>
      </c>
      <c r="M77" s="188"/>
      <c r="N77" s="448"/>
      <c r="O77" s="448"/>
      <c r="P77" s="449"/>
      <c r="Q77" s="152"/>
      <c r="R77" s="134">
        <v>0</v>
      </c>
      <c r="S77" s="134">
        <v>0</v>
      </c>
      <c r="T77" s="134">
        <v>0</v>
      </c>
      <c r="U77" s="134">
        <v>0</v>
      </c>
      <c r="V77" s="134">
        <v>0</v>
      </c>
      <c r="W77" s="134">
        <v>0</v>
      </c>
      <c r="X77" s="134">
        <v>0</v>
      </c>
      <c r="Y77" s="304">
        <f t="shared" si="29"/>
        <v>0</v>
      </c>
      <c r="AK77" s="358"/>
      <c r="AL77" s="358"/>
    </row>
    <row r="78" spans="2:38" x14ac:dyDescent="0.25">
      <c r="B78" s="84"/>
      <c r="G78" s="169"/>
      <c r="H78" s="84"/>
      <c r="I78" s="167"/>
      <c r="K78" s="191"/>
      <c r="L78" s="191"/>
      <c r="M78" s="192"/>
      <c r="N78" s="192"/>
      <c r="O78" s="192"/>
      <c r="P78" s="192"/>
      <c r="X78" s="108"/>
      <c r="AK78" s="358"/>
      <c r="AL78" s="358"/>
    </row>
    <row r="79" spans="2:38" x14ac:dyDescent="0.25">
      <c r="B79" s="120" t="s">
        <v>306</v>
      </c>
      <c r="G79" s="169"/>
      <c r="H79" s="84"/>
      <c r="I79" s="167"/>
      <c r="K79" s="343">
        <v>6415.1894396014732</v>
      </c>
      <c r="L79" s="343">
        <v>695.59936051625402</v>
      </c>
      <c r="M79" s="344">
        <v>900</v>
      </c>
      <c r="N79" s="344">
        <v>5771.9784649304966</v>
      </c>
      <c r="O79" s="344">
        <v>118.56633470328464</v>
      </c>
      <c r="P79" s="344">
        <v>13901.333599751513</v>
      </c>
      <c r="Q79" s="278">
        <f>SUM(P17:P75)</f>
        <v>0</v>
      </c>
      <c r="X79" s="108"/>
      <c r="AK79" s="358"/>
      <c r="AL79" s="358"/>
    </row>
    <row r="80" spans="2:38" x14ac:dyDescent="0.25">
      <c r="B80" s="195" t="s">
        <v>307</v>
      </c>
      <c r="C80" s="327"/>
      <c r="D80" s="102"/>
      <c r="E80" s="102"/>
      <c r="F80" s="102"/>
      <c r="G80" s="196"/>
      <c r="H80" s="195"/>
      <c r="I80" s="196"/>
      <c r="J80" s="102"/>
      <c r="K80" s="197">
        <v>0</v>
      </c>
      <c r="L80" s="198">
        <v>0</v>
      </c>
      <c r="M80" s="198">
        <v>0</v>
      </c>
      <c r="N80" s="198">
        <v>0</v>
      </c>
      <c r="O80" s="198">
        <v>0</v>
      </c>
      <c r="P80" s="199">
        <v>0</v>
      </c>
      <c r="X80" s="108"/>
      <c r="AK80" s="358"/>
      <c r="AL80" s="358"/>
    </row>
    <row r="81" spans="2:38" ht="30" x14ac:dyDescent="0.25">
      <c r="B81" s="143" t="s">
        <v>308</v>
      </c>
      <c r="C81" s="324"/>
      <c r="D81" s="117"/>
      <c r="E81" s="117"/>
      <c r="F81" s="117"/>
      <c r="G81" s="200" t="s">
        <v>309</v>
      </c>
      <c r="H81" s="302" t="s">
        <v>279</v>
      </c>
      <c r="I81" s="67" t="s">
        <v>280</v>
      </c>
      <c r="J81" s="102"/>
      <c r="K81" s="67" t="s">
        <v>21</v>
      </c>
      <c r="L81" s="67" t="s">
        <v>22</v>
      </c>
      <c r="M81" s="202" t="s">
        <v>23</v>
      </c>
      <c r="N81" s="202" t="s">
        <v>24</v>
      </c>
      <c r="O81" s="68" t="s">
        <v>25</v>
      </c>
      <c r="P81" s="68" t="s">
        <v>26</v>
      </c>
      <c r="X81" s="108"/>
      <c r="AK81" s="358"/>
      <c r="AL81" s="358"/>
    </row>
    <row r="82" spans="2:38" x14ac:dyDescent="0.25">
      <c r="B82" s="120"/>
      <c r="C82" s="305"/>
      <c r="G82" s="167"/>
      <c r="H82" s="84"/>
      <c r="I82" s="167"/>
      <c r="K82" s="203"/>
      <c r="L82" s="203"/>
      <c r="M82" s="204"/>
      <c r="N82" s="204"/>
      <c r="O82" s="204"/>
      <c r="P82" s="169"/>
      <c r="X82" s="108"/>
      <c r="AK82" s="358"/>
      <c r="AL82" s="358"/>
    </row>
    <row r="83" spans="2:38" x14ac:dyDescent="0.25">
      <c r="B83" s="312" t="s">
        <v>396</v>
      </c>
      <c r="G83" s="167"/>
      <c r="H83" s="84"/>
      <c r="I83" s="167"/>
      <c r="K83" s="203"/>
      <c r="L83" s="203"/>
      <c r="M83" s="204"/>
      <c r="N83" s="204"/>
      <c r="O83" s="204"/>
      <c r="P83" s="169"/>
      <c r="X83" s="108"/>
      <c r="Y83" s="77"/>
      <c r="AK83" s="358"/>
      <c r="AL83" s="358"/>
    </row>
    <row r="84" spans="2:38" x14ac:dyDescent="0.25">
      <c r="B84" s="333" t="s">
        <v>392</v>
      </c>
      <c r="G84" s="167"/>
      <c r="H84" s="84"/>
      <c r="I84" s="167"/>
      <c r="K84" s="203"/>
      <c r="L84" s="203"/>
      <c r="M84" s="204"/>
      <c r="N84" s="204"/>
      <c r="O84" s="204"/>
      <c r="P84" s="169"/>
      <c r="X84" s="108"/>
      <c r="Y84" s="77"/>
      <c r="AK84" s="358"/>
      <c r="AL84" s="358"/>
    </row>
    <row r="85" spans="2:38" x14ac:dyDescent="0.25">
      <c r="B85" s="315"/>
      <c r="C85" s="305" t="s">
        <v>387</v>
      </c>
      <c r="D85" s="23" t="str">
        <f>INDEX(Unit_Rates!$C$7:$K$113,MATCH($C85,Unit_Rates!$C$7:$C$113,0),5)</f>
        <v>Subtransmission</v>
      </c>
      <c r="E85" s="23" t="str">
        <f>INDEX(Unit_Rates!$C$7:$K$113,MATCH($C85,Unit_Rates!$C$7:$C$113,0),6)</f>
        <v>Augmentation</v>
      </c>
      <c r="F85" s="23" t="str">
        <f t="shared" ref="F85:F90" si="33">D85&amp;E85</f>
        <v>SubtransmissionAugmentation</v>
      </c>
      <c r="G85" s="170">
        <f>INDEX(Unit_Rates!$C$7:$K$113,MATCH($C85,Unit_Rates!$C$7:$C$113,0),7)</f>
        <v>5.4307692307692301</v>
      </c>
      <c r="H85" s="350"/>
      <c r="I85" s="308" t="s">
        <v>294</v>
      </c>
      <c r="J85" s="108"/>
      <c r="K85" s="170">
        <f>G85*H85</f>
        <v>0</v>
      </c>
      <c r="L85" s="170">
        <f t="shared" ref="L85:L91" si="34">SUMPRODUCT(R$5:X$5,R85:X85)/Thousands</f>
        <v>0</v>
      </c>
      <c r="M85" s="170"/>
      <c r="N85" s="446"/>
      <c r="O85" s="446"/>
      <c r="P85" s="446"/>
      <c r="Q85" s="314">
        <f>P85-H85*VLOOKUP(C85,Unit_Rates!$C$7:$E$113,3,FALSE)</f>
        <v>0</v>
      </c>
      <c r="R85" s="134">
        <v>0</v>
      </c>
      <c r="S85" s="134">
        <v>0</v>
      </c>
      <c r="T85" s="134">
        <v>0</v>
      </c>
      <c r="U85" s="134">
        <v>0</v>
      </c>
      <c r="V85" s="134">
        <v>0</v>
      </c>
      <c r="W85" s="134">
        <v>0</v>
      </c>
      <c r="X85" s="134">
        <v>0</v>
      </c>
      <c r="Y85" s="304">
        <f t="shared" ref="Y85:Y99" si="35">SUM(R85:X85)</f>
        <v>0</v>
      </c>
      <c r="Z85" s="6"/>
      <c r="AA85" s="6"/>
      <c r="AB85" s="6"/>
      <c r="AC85" s="6"/>
      <c r="AD85" s="6"/>
      <c r="AE85" s="6"/>
      <c r="AF85" s="6"/>
      <c r="AG85" s="8"/>
      <c r="AI85" s="96"/>
      <c r="AK85" s="358"/>
      <c r="AL85" s="358"/>
    </row>
    <row r="86" spans="2:38" x14ac:dyDescent="0.25">
      <c r="B86" s="315"/>
      <c r="C86" s="23" t="s">
        <v>372</v>
      </c>
      <c r="D86" s="23" t="str">
        <f>INDEX(Unit_Rates!$C$7:$K$113,MATCH($C86,Unit_Rates!$C$7:$C$113,0),5)</f>
        <v>Subtransmission</v>
      </c>
      <c r="E86" s="23" t="str">
        <f>INDEX(Unit_Rates!$C$7:$K$113,MATCH($C86,Unit_Rates!$C$7:$C$113,0),6)</f>
        <v>Augmentation</v>
      </c>
      <c r="F86" s="23" t="str">
        <f t="shared" si="33"/>
        <v>SubtransmissionAugmentation</v>
      </c>
      <c r="G86" s="170">
        <f>INDEX(Unit_Rates!$C$7:$K$113,MATCH($C86,Unit_Rates!$C$7:$C$113,0),7)</f>
        <v>0.40306153846153847</v>
      </c>
      <c r="H86" s="350"/>
      <c r="I86" s="308" t="s">
        <v>294</v>
      </c>
      <c r="J86" s="108"/>
      <c r="K86" s="170">
        <f>G86*H86</f>
        <v>0</v>
      </c>
      <c r="L86" s="170">
        <f t="shared" si="34"/>
        <v>0</v>
      </c>
      <c r="M86" s="170"/>
      <c r="N86" s="446"/>
      <c r="O86" s="446"/>
      <c r="P86" s="446"/>
      <c r="Q86" s="314">
        <f>P86-H86*VLOOKUP(C86,Unit_Rates!$C$7:$E$113,3,FALSE)</f>
        <v>0</v>
      </c>
      <c r="R86" s="134">
        <v>0</v>
      </c>
      <c r="S86" s="134">
        <v>0</v>
      </c>
      <c r="T86" s="134">
        <v>0</v>
      </c>
      <c r="U86" s="134">
        <v>0</v>
      </c>
      <c r="V86" s="134">
        <v>0</v>
      </c>
      <c r="W86" s="134">
        <v>0</v>
      </c>
      <c r="X86" s="134">
        <v>0</v>
      </c>
      <c r="Y86" s="304">
        <f t="shared" si="35"/>
        <v>0</v>
      </c>
      <c r="Z86" s="6"/>
      <c r="AA86" s="6"/>
      <c r="AB86" s="6"/>
      <c r="AC86" s="6"/>
      <c r="AD86" s="6"/>
      <c r="AE86" s="6"/>
      <c r="AF86" s="6"/>
      <c r="AG86" s="8"/>
      <c r="AI86" s="96"/>
      <c r="AK86" s="358"/>
      <c r="AL86" s="358"/>
    </row>
    <row r="87" spans="2:38" x14ac:dyDescent="0.25">
      <c r="B87" s="315"/>
      <c r="C87" s="329" t="s">
        <v>365</v>
      </c>
      <c r="D87" s="23" t="str">
        <f>INDEX(Unit_Rates!$C$7:$K$113,MATCH($C87,Unit_Rates!$C$7:$C$113,0),5)</f>
        <v>Subtransmission</v>
      </c>
      <c r="E87" s="23" t="str">
        <f>INDEX(Unit_Rates!$C$7:$K$113,MATCH($C87,Unit_Rates!$C$7:$C$113,0),6)</f>
        <v>Augmentation</v>
      </c>
      <c r="F87" s="23" t="str">
        <f>D87&amp;E87</f>
        <v>SubtransmissionAugmentation</v>
      </c>
      <c r="G87" s="170">
        <f>INDEX(Unit_Rates!$C$7:$K$113,MATCH($C87,Unit_Rates!$C$7:$C$113,0),7)</f>
        <v>15.18</v>
      </c>
      <c r="H87" s="350"/>
      <c r="I87" s="123" t="s">
        <v>362</v>
      </c>
      <c r="J87" s="108"/>
      <c r="K87" s="170">
        <f>G87*H87</f>
        <v>0</v>
      </c>
      <c r="L87" s="170">
        <f>SUMPRODUCT(R$5:X$5,R87:X87)/Thousands</f>
        <v>0</v>
      </c>
      <c r="M87" s="170"/>
      <c r="N87" s="446"/>
      <c r="O87" s="446"/>
      <c r="P87" s="446"/>
      <c r="Q87" s="314">
        <f>P87-H87*VLOOKUP(C87,Unit_Rates!$C$7:$E$113,3,FALSE)</f>
        <v>0</v>
      </c>
      <c r="R87" s="134">
        <v>0</v>
      </c>
      <c r="S87" s="134">
        <v>0</v>
      </c>
      <c r="T87" s="134">
        <v>0</v>
      </c>
      <c r="U87" s="134">
        <v>0</v>
      </c>
      <c r="V87" s="134">
        <v>0</v>
      </c>
      <c r="W87" s="134">
        <v>0</v>
      </c>
      <c r="X87" s="134">
        <v>0</v>
      </c>
      <c r="Y87" s="304">
        <f>SUM(R87:X87)</f>
        <v>0</v>
      </c>
      <c r="Z87" s="6"/>
      <c r="AA87" s="6"/>
      <c r="AB87" s="6"/>
      <c r="AC87" s="6"/>
      <c r="AD87" s="6"/>
      <c r="AE87" s="6"/>
      <c r="AF87" s="6"/>
      <c r="AG87" s="8"/>
      <c r="AI87" s="96"/>
      <c r="AK87" s="358"/>
      <c r="AL87" s="358"/>
    </row>
    <row r="88" spans="2:38" x14ac:dyDescent="0.25">
      <c r="B88" s="315"/>
      <c r="C88" s="23" t="s">
        <v>377</v>
      </c>
      <c r="D88" s="23" t="str">
        <f>INDEX(Unit_Rates!$C$7:$K$113,MATCH($C88,Unit_Rates!$C$7:$C$113,0),5)</f>
        <v>Distribution system assets</v>
      </c>
      <c r="E88" s="23" t="str">
        <f>INDEX(Unit_Rates!$C$7:$K$113,MATCH($C88,Unit_Rates!$C$7:$C$113,0),6)</f>
        <v>Augmentation</v>
      </c>
      <c r="F88" s="23" t="str">
        <f t="shared" si="33"/>
        <v>Distribution system assetsAugmentation</v>
      </c>
      <c r="G88" s="170">
        <f>INDEX(Unit_Rates!$C$7:$K$113,MATCH($C88,Unit_Rates!$C$7:$C$113,0),7)</f>
        <v>0.43615384615384611</v>
      </c>
      <c r="H88" s="350"/>
      <c r="I88" s="308" t="s">
        <v>294</v>
      </c>
      <c r="J88" s="108"/>
      <c r="K88" s="170">
        <f t="shared" ref="K88:K91" si="36">G88*H88</f>
        <v>0</v>
      </c>
      <c r="L88" s="170">
        <f t="shared" si="34"/>
        <v>0</v>
      </c>
      <c r="M88" s="170"/>
      <c r="N88" s="446"/>
      <c r="O88" s="446"/>
      <c r="P88" s="446"/>
      <c r="Q88" s="314">
        <f>P88-H88*VLOOKUP(C88,Unit_Rates!$C$7:$E$113,3,FALSE)</f>
        <v>0</v>
      </c>
      <c r="R88" s="134">
        <v>0</v>
      </c>
      <c r="S88" s="134">
        <v>0</v>
      </c>
      <c r="T88" s="134">
        <v>0</v>
      </c>
      <c r="U88" s="134">
        <v>0</v>
      </c>
      <c r="V88" s="134">
        <v>0</v>
      </c>
      <c r="W88" s="134">
        <v>0</v>
      </c>
      <c r="X88" s="134">
        <v>0</v>
      </c>
      <c r="Y88" s="304">
        <f t="shared" si="35"/>
        <v>0</v>
      </c>
      <c r="Z88" s="6"/>
      <c r="AA88" s="6"/>
      <c r="AB88" s="6"/>
      <c r="AC88" s="6"/>
      <c r="AD88" s="6"/>
      <c r="AE88" s="6"/>
      <c r="AF88" s="6"/>
      <c r="AG88" s="8"/>
      <c r="AI88" s="96"/>
      <c r="AK88" s="358"/>
      <c r="AL88" s="358"/>
    </row>
    <row r="89" spans="2:38" x14ac:dyDescent="0.25">
      <c r="B89" s="315"/>
      <c r="C89" s="305" t="s">
        <v>366</v>
      </c>
      <c r="D89" s="23" t="str">
        <f>INDEX(Unit_Rates!$C$7:$K$113,MATCH($C89,Unit_Rates!$C$7:$C$113,0),5)</f>
        <v>Distribution system assets</v>
      </c>
      <c r="E89" s="23" t="str">
        <f>INDEX(Unit_Rates!$C$7:$K$113,MATCH($C89,Unit_Rates!$C$7:$C$113,0),6)</f>
        <v>Augmentation</v>
      </c>
      <c r="F89" s="23" t="str">
        <f>D89&amp;E89</f>
        <v>Distribution system assetsAugmentation</v>
      </c>
      <c r="G89" s="170">
        <f>INDEX(Unit_Rates!$C$7:$K$113,MATCH($C89,Unit_Rates!$C$7:$C$113,0),7)</f>
        <v>6.7847700000000009</v>
      </c>
      <c r="H89" s="350"/>
      <c r="I89" s="123" t="s">
        <v>362</v>
      </c>
      <c r="J89" s="108"/>
      <c r="K89" s="170">
        <f>G89*H89</f>
        <v>0</v>
      </c>
      <c r="L89" s="170">
        <f>SUMPRODUCT(R$5:X$5,R89:X89)/Thousands</f>
        <v>0</v>
      </c>
      <c r="M89" s="170"/>
      <c r="N89" s="446"/>
      <c r="O89" s="446"/>
      <c r="P89" s="446"/>
      <c r="Q89" s="314">
        <f>P89-H89*VLOOKUP(C89,Unit_Rates!$C$7:$E$113,3,FALSE)</f>
        <v>0</v>
      </c>
      <c r="R89" s="134">
        <v>0</v>
      </c>
      <c r="S89" s="134">
        <v>0</v>
      </c>
      <c r="T89" s="134">
        <v>0</v>
      </c>
      <c r="U89" s="134">
        <v>0</v>
      </c>
      <c r="V89" s="134">
        <v>0</v>
      </c>
      <c r="W89" s="134">
        <v>0</v>
      </c>
      <c r="X89" s="134">
        <v>0</v>
      </c>
      <c r="Y89" s="304">
        <f>SUM(R89:X89)</f>
        <v>0</v>
      </c>
      <c r="Z89" s="6"/>
      <c r="AA89" s="6"/>
      <c r="AB89" s="6"/>
      <c r="AC89" s="6"/>
      <c r="AD89" s="6"/>
      <c r="AE89" s="6"/>
      <c r="AF89" s="6"/>
      <c r="AG89" s="8"/>
      <c r="AI89" s="97"/>
      <c r="AK89" s="358"/>
      <c r="AL89" s="358"/>
    </row>
    <row r="90" spans="2:38" x14ac:dyDescent="0.25">
      <c r="B90" s="315"/>
      <c r="C90" s="305" t="s">
        <v>363</v>
      </c>
      <c r="D90" s="23" t="str">
        <f>INDEX(Unit_Rates!$C$7:$K$113,MATCH($C90,Unit_Rates!$C$7:$C$113,0),5)</f>
        <v>Subtransmission</v>
      </c>
      <c r="E90" s="23" t="str">
        <f>INDEX(Unit_Rates!$C$7:$K$113,MATCH($C90,Unit_Rates!$C$7:$C$113,0),6)</f>
        <v>Augmentation</v>
      </c>
      <c r="F90" s="23" t="str">
        <f t="shared" si="33"/>
        <v>SubtransmissionAugmentation</v>
      </c>
      <c r="G90" s="170">
        <f>INDEX(Unit_Rates!$C$7:$K$113,MATCH($C90,Unit_Rates!$C$7:$C$113,0),7)</f>
        <v>0.24562</v>
      </c>
      <c r="H90" s="350"/>
      <c r="I90" s="308" t="s">
        <v>294</v>
      </c>
      <c r="J90" s="108"/>
      <c r="K90" s="170">
        <f t="shared" si="36"/>
        <v>0</v>
      </c>
      <c r="L90" s="170">
        <f t="shared" si="34"/>
        <v>0</v>
      </c>
      <c r="M90" s="170"/>
      <c r="N90" s="446"/>
      <c r="O90" s="446"/>
      <c r="P90" s="446"/>
      <c r="Q90" s="314">
        <f>P90-H90*VLOOKUP(C90,Unit_Rates!$C$7:$E$113,3,FALSE)</f>
        <v>0</v>
      </c>
      <c r="R90" s="134">
        <v>0</v>
      </c>
      <c r="S90" s="134">
        <v>0</v>
      </c>
      <c r="T90" s="134">
        <v>0</v>
      </c>
      <c r="U90" s="134">
        <v>0</v>
      </c>
      <c r="V90" s="134">
        <v>0</v>
      </c>
      <c r="W90" s="134">
        <v>0</v>
      </c>
      <c r="X90" s="134">
        <v>0</v>
      </c>
      <c r="Y90" s="304">
        <f t="shared" si="35"/>
        <v>0</v>
      </c>
      <c r="Z90" s="6"/>
      <c r="AA90" s="6"/>
      <c r="AB90" s="6"/>
      <c r="AC90" s="6"/>
      <c r="AD90" s="6"/>
      <c r="AE90" s="6"/>
      <c r="AF90" s="6"/>
      <c r="AG90" s="8"/>
      <c r="AI90" s="97"/>
      <c r="AK90" s="358"/>
      <c r="AL90" s="358"/>
    </row>
    <row r="91" spans="2:38" x14ac:dyDescent="0.25">
      <c r="B91" s="315"/>
      <c r="C91" s="305" t="s">
        <v>364</v>
      </c>
      <c r="D91" t="s">
        <v>3</v>
      </c>
      <c r="E91" t="s">
        <v>27</v>
      </c>
      <c r="F91" t="s">
        <v>30</v>
      </c>
      <c r="G91" s="170">
        <f>INDEX(Unit_Rates!$C$7:$K$113,MATCH($C91,Unit_Rates!$C$7:$C$113,0),7)</f>
        <v>0</v>
      </c>
      <c r="H91" s="350"/>
      <c r="I91" s="308" t="s">
        <v>362</v>
      </c>
      <c r="J91" s="108"/>
      <c r="K91" s="170">
        <f t="shared" si="36"/>
        <v>0</v>
      </c>
      <c r="L91" s="170">
        <f t="shared" si="34"/>
        <v>0</v>
      </c>
      <c r="M91" s="170"/>
      <c r="N91" s="446"/>
      <c r="O91" s="446"/>
      <c r="P91" s="446"/>
      <c r="Q91" s="314"/>
      <c r="R91" s="134">
        <v>0</v>
      </c>
      <c r="S91" s="134">
        <v>0</v>
      </c>
      <c r="T91" s="134">
        <v>0</v>
      </c>
      <c r="U91" s="134">
        <v>0</v>
      </c>
      <c r="V91" s="134">
        <v>0</v>
      </c>
      <c r="W91" s="134">
        <f>40*H91</f>
        <v>0</v>
      </c>
      <c r="X91" s="134">
        <v>0</v>
      </c>
      <c r="Y91" s="304">
        <f t="shared" si="35"/>
        <v>0</v>
      </c>
      <c r="Z91" s="6"/>
      <c r="AA91" s="6"/>
      <c r="AB91" s="6"/>
      <c r="AC91" s="6"/>
      <c r="AD91" s="6"/>
      <c r="AE91" s="6"/>
      <c r="AF91" s="6"/>
      <c r="AI91" s="97"/>
      <c r="AK91" s="358"/>
      <c r="AL91" s="358"/>
    </row>
    <row r="92" spans="2:38" x14ac:dyDescent="0.25">
      <c r="B92" s="334" t="s">
        <v>393</v>
      </c>
      <c r="G92" s="170"/>
      <c r="H92" s="313"/>
      <c r="I92" s="123"/>
      <c r="J92" s="108"/>
      <c r="K92" s="170"/>
      <c r="L92" s="170"/>
      <c r="M92" s="170"/>
      <c r="N92" s="170"/>
      <c r="O92" s="170"/>
      <c r="P92" s="170"/>
      <c r="Q92" s="208"/>
      <c r="R92" s="189"/>
      <c r="S92" s="189"/>
      <c r="T92" s="189"/>
      <c r="U92" s="189"/>
      <c r="V92" s="189"/>
      <c r="W92" s="189"/>
      <c r="X92" s="189"/>
      <c r="Y92" s="304"/>
      <c r="Z92" s="6"/>
      <c r="AA92" s="6"/>
      <c r="AB92" s="6"/>
      <c r="AC92" s="6"/>
      <c r="AD92" s="6"/>
      <c r="AE92" s="6"/>
      <c r="AF92" s="6"/>
      <c r="AG92" s="8"/>
      <c r="AI92" s="97"/>
      <c r="AK92" s="358"/>
      <c r="AL92" s="358"/>
    </row>
    <row r="93" spans="2:38" x14ac:dyDescent="0.25">
      <c r="B93" s="315"/>
      <c r="C93" s="23" t="s">
        <v>372</v>
      </c>
      <c r="D93" s="23" t="str">
        <f>INDEX(Unit_Rates!$C$7:$K$113,MATCH($C93,Unit_Rates!$C$7:$C$113,0),5)</f>
        <v>Subtransmission</v>
      </c>
      <c r="E93" s="23" t="str">
        <f>INDEX(Unit_Rates!$C$7:$K$113,MATCH($C93,Unit_Rates!$C$7:$C$113,0),6)</f>
        <v>Augmentation</v>
      </c>
      <c r="F93" s="23" t="str">
        <f t="shared" ref="F93" si="37">D93&amp;E93</f>
        <v>SubtransmissionAugmentation</v>
      </c>
      <c r="G93" s="170">
        <f>INDEX(Unit_Rates!$C$7:$K$113,MATCH($C93,Unit_Rates!$C$7:$C$113,0),7)</f>
        <v>0.40306153846153847</v>
      </c>
      <c r="H93" s="350"/>
      <c r="I93" s="308" t="s">
        <v>294</v>
      </c>
      <c r="J93" s="108"/>
      <c r="K93" s="170">
        <f>G93*H93</f>
        <v>0</v>
      </c>
      <c r="L93" s="170">
        <f t="shared" ref="L93:L94" si="38">SUMPRODUCT(R$5:X$5,R93:X93)/Thousands</f>
        <v>0</v>
      </c>
      <c r="M93" s="170"/>
      <c r="N93" s="446"/>
      <c r="O93" s="446"/>
      <c r="P93" s="446"/>
      <c r="Q93" s="314">
        <f>P93-H93*VLOOKUP(C93,Unit_Rates!$C$7:$E$113,3,FALSE)</f>
        <v>0</v>
      </c>
      <c r="R93" s="134">
        <v>0</v>
      </c>
      <c r="S93" s="134">
        <v>0</v>
      </c>
      <c r="T93" s="134">
        <v>0</v>
      </c>
      <c r="U93" s="134">
        <v>0</v>
      </c>
      <c r="V93" s="134">
        <v>0</v>
      </c>
      <c r="W93" s="134">
        <v>0</v>
      </c>
      <c r="X93" s="134">
        <v>0</v>
      </c>
      <c r="Y93" s="304">
        <f t="shared" si="35"/>
        <v>0</v>
      </c>
      <c r="Z93" s="6"/>
      <c r="AA93" s="6"/>
      <c r="AB93" s="6"/>
      <c r="AC93" s="6"/>
      <c r="AD93" s="6"/>
      <c r="AE93" s="6"/>
      <c r="AF93" s="6"/>
      <c r="AG93" s="8"/>
      <c r="AI93" s="97"/>
      <c r="AK93" s="358"/>
      <c r="AL93" s="358"/>
    </row>
    <row r="94" spans="2:38" x14ac:dyDescent="0.25">
      <c r="B94" s="315"/>
      <c r="C94" s="305" t="s">
        <v>364</v>
      </c>
      <c r="D94" t="s">
        <v>3</v>
      </c>
      <c r="E94" t="s">
        <v>27</v>
      </c>
      <c r="F94" t="s">
        <v>30</v>
      </c>
      <c r="G94" s="170">
        <f>INDEX(Unit_Rates!$C$7:$K$113,MATCH($C94,Unit_Rates!$C$7:$C$113,0),7)</f>
        <v>0</v>
      </c>
      <c r="H94" s="350"/>
      <c r="I94" s="308" t="s">
        <v>362</v>
      </c>
      <c r="J94" s="108"/>
      <c r="K94" s="170">
        <f t="shared" ref="K94" si="39">G94*H94</f>
        <v>0</v>
      </c>
      <c r="L94" s="170">
        <f t="shared" si="38"/>
        <v>0</v>
      </c>
      <c r="M94" s="170"/>
      <c r="N94" s="446"/>
      <c r="O94" s="446"/>
      <c r="P94" s="446"/>
      <c r="Q94" s="314"/>
      <c r="R94" s="134">
        <v>0</v>
      </c>
      <c r="S94" s="134">
        <v>0</v>
      </c>
      <c r="T94" s="134">
        <v>0</v>
      </c>
      <c r="U94" s="134">
        <v>0</v>
      </c>
      <c r="V94" s="134">
        <v>0</v>
      </c>
      <c r="W94" s="134">
        <f>30*H94</f>
        <v>0</v>
      </c>
      <c r="X94" s="134">
        <v>0</v>
      </c>
      <c r="Y94" s="304">
        <f t="shared" si="35"/>
        <v>0</v>
      </c>
      <c r="Z94" s="6"/>
      <c r="AA94" s="6"/>
      <c r="AB94" s="6"/>
      <c r="AC94" s="6"/>
      <c r="AD94" s="6"/>
      <c r="AE94" s="6"/>
      <c r="AF94" s="6"/>
      <c r="AG94" s="8"/>
      <c r="AI94" s="97"/>
      <c r="AK94" s="358"/>
      <c r="AL94" s="358"/>
    </row>
    <row r="95" spans="2:38" x14ac:dyDescent="0.25">
      <c r="B95" s="335" t="s">
        <v>395</v>
      </c>
      <c r="G95" s="170"/>
      <c r="H95" s="313"/>
      <c r="I95" s="308"/>
      <c r="J95" s="108"/>
      <c r="K95" s="170"/>
      <c r="L95" s="170"/>
      <c r="M95" s="170"/>
      <c r="N95" s="446"/>
      <c r="O95" s="446"/>
      <c r="P95" s="446"/>
      <c r="Q95" s="152"/>
      <c r="R95" s="189"/>
      <c r="S95" s="189"/>
      <c r="T95" s="189"/>
      <c r="U95" s="189"/>
      <c r="V95" s="189"/>
      <c r="W95" s="189"/>
      <c r="X95" s="189"/>
      <c r="Y95" s="304"/>
      <c r="Z95" s="6"/>
      <c r="AA95" s="6"/>
      <c r="AB95" s="6"/>
      <c r="AC95" s="6"/>
      <c r="AD95" s="6"/>
      <c r="AE95" s="6"/>
      <c r="AF95" s="6"/>
      <c r="AG95" s="8"/>
      <c r="AI95" s="97"/>
      <c r="AK95" s="358"/>
      <c r="AL95" s="358"/>
    </row>
    <row r="96" spans="2:38" x14ac:dyDescent="0.25">
      <c r="B96" s="315"/>
      <c r="C96" s="305" t="s">
        <v>390</v>
      </c>
      <c r="D96" s="23" t="str">
        <f>INDEX(Unit_Rates!$C$7:$K$113,MATCH($C96,Unit_Rates!$C$7:$C$113,0),5)</f>
        <v>Subtransmission</v>
      </c>
      <c r="E96" s="23" t="str">
        <f>INDEX(Unit_Rates!$C$7:$K$113,MATCH($C96,Unit_Rates!$C$7:$C$113,0),6)</f>
        <v>Augmentation</v>
      </c>
      <c r="F96" s="23" t="str">
        <f t="shared" ref="F96" si="40">D96&amp;E96</f>
        <v>SubtransmissionAugmentation</v>
      </c>
      <c r="G96" s="170">
        <f>INDEX(Unit_Rates!$C$7:$K$113,MATCH($C96,Unit_Rates!$C$7:$C$113,0),7)</f>
        <v>8.7200000000000006</v>
      </c>
      <c r="H96" s="350"/>
      <c r="I96" s="123" t="s">
        <v>362</v>
      </c>
      <c r="J96" s="108"/>
      <c r="K96" s="170">
        <f t="shared" ref="K96" si="41">G96*H96</f>
        <v>0</v>
      </c>
      <c r="L96" s="170">
        <f t="shared" ref="L96" si="42">SUMPRODUCT(R$5:X$5,R96:X96)/Thousands</f>
        <v>0</v>
      </c>
      <c r="M96" s="170"/>
      <c r="N96" s="446"/>
      <c r="O96" s="446"/>
      <c r="P96" s="446"/>
      <c r="Q96" s="314"/>
      <c r="R96" s="134">
        <v>0</v>
      </c>
      <c r="S96" s="134">
        <v>0</v>
      </c>
      <c r="T96" s="134">
        <v>0</v>
      </c>
      <c r="U96" s="134">
        <v>0</v>
      </c>
      <c r="V96" s="134">
        <v>0</v>
      </c>
      <c r="W96" s="134">
        <f>8*H96</f>
        <v>0</v>
      </c>
      <c r="X96" s="134">
        <v>0</v>
      </c>
      <c r="Y96" s="304">
        <f t="shared" si="35"/>
        <v>0</v>
      </c>
      <c r="Z96" s="6"/>
      <c r="AA96" s="6"/>
      <c r="AB96" s="6"/>
      <c r="AC96" s="6"/>
      <c r="AD96" s="6"/>
      <c r="AE96" s="6"/>
      <c r="AF96" s="6"/>
      <c r="AG96" s="8"/>
      <c r="AI96" s="97"/>
      <c r="AK96" s="358"/>
      <c r="AL96" s="358"/>
    </row>
    <row r="97" spans="2:38" x14ac:dyDescent="0.25">
      <c r="B97" s="315"/>
      <c r="C97" s="305" t="s">
        <v>367</v>
      </c>
      <c r="D97" s="23" t="str">
        <f>INDEX(Unit_Rates!$C$7:$K$113,MATCH($C97,Unit_Rates!$C$7:$C$113,0),5)</f>
        <v>Subtransmission</v>
      </c>
      <c r="E97" s="23" t="str">
        <f>INDEX(Unit_Rates!$C$7:$K$113,MATCH($C97,Unit_Rates!$C$7:$C$113,0),6)</f>
        <v>Augmentation</v>
      </c>
      <c r="F97" s="23" t="str">
        <f t="shared" ref="F97:F99" si="43">D97&amp;E97</f>
        <v>SubtransmissionAugmentation</v>
      </c>
      <c r="G97" s="170">
        <f>INDEX(Unit_Rates!$C$7:$K$113,MATCH($C97,Unit_Rates!$C$7:$C$113,0),7)</f>
        <v>6.7949999999999999</v>
      </c>
      <c r="H97" s="350"/>
      <c r="I97" s="123" t="s">
        <v>294</v>
      </c>
      <c r="J97" s="108"/>
      <c r="K97" s="170">
        <f t="shared" ref="K97:K99" si="44">G97*H97</f>
        <v>0</v>
      </c>
      <c r="L97" s="170">
        <f t="shared" ref="L97:L99" si="45">SUMPRODUCT(R$5:X$5,R97:X97)/Thousands</f>
        <v>0</v>
      </c>
      <c r="M97" s="170"/>
      <c r="N97" s="446"/>
      <c r="O97" s="446"/>
      <c r="P97" s="446"/>
      <c r="Q97" s="314">
        <f>P97-H97*VLOOKUP(C97,Unit_Rates!$C$7:$E$113,3,FALSE)</f>
        <v>0</v>
      </c>
      <c r="R97" s="134">
        <v>0</v>
      </c>
      <c r="S97" s="134">
        <v>0</v>
      </c>
      <c r="T97" s="134">
        <v>0</v>
      </c>
      <c r="U97" s="134">
        <v>0</v>
      </c>
      <c r="V97" s="134">
        <v>0</v>
      </c>
      <c r="W97" s="134">
        <v>0</v>
      </c>
      <c r="X97" s="134">
        <v>0</v>
      </c>
      <c r="Y97" s="304">
        <f t="shared" si="35"/>
        <v>0</v>
      </c>
      <c r="Z97" s="6"/>
      <c r="AA97" s="6"/>
      <c r="AB97" s="6"/>
      <c r="AC97" s="6"/>
      <c r="AD97" s="6"/>
      <c r="AE97" s="6"/>
      <c r="AF97" s="6"/>
      <c r="AG97" s="8"/>
      <c r="AI97" s="97"/>
      <c r="AK97" s="358"/>
      <c r="AL97" s="358"/>
    </row>
    <row r="98" spans="2:38" x14ac:dyDescent="0.25">
      <c r="B98" s="335" t="s">
        <v>394</v>
      </c>
      <c r="C98" s="305"/>
      <c r="D98" s="23"/>
      <c r="E98" s="23"/>
      <c r="F98" s="23"/>
      <c r="G98" s="170"/>
      <c r="H98" s="313"/>
      <c r="I98" s="308"/>
      <c r="J98" s="305"/>
      <c r="K98" s="170"/>
      <c r="L98" s="170"/>
      <c r="M98" s="170"/>
      <c r="N98" s="170"/>
      <c r="O98" s="170"/>
      <c r="P98" s="170"/>
      <c r="Q98" s="314"/>
      <c r="R98" s="189"/>
      <c r="S98" s="189"/>
      <c r="T98" s="189"/>
      <c r="U98" s="189"/>
      <c r="V98" s="189"/>
      <c r="W98" s="189"/>
      <c r="X98" s="189"/>
      <c r="Y98" s="77"/>
      <c r="Z98" s="6"/>
      <c r="AA98" s="6"/>
      <c r="AB98" s="6"/>
      <c r="AC98" s="6"/>
      <c r="AD98" s="6"/>
      <c r="AE98" s="6"/>
      <c r="AF98" s="6"/>
      <c r="AG98" s="8"/>
      <c r="AI98" s="97"/>
      <c r="AK98" s="358"/>
      <c r="AL98" s="358"/>
    </row>
    <row r="99" spans="2:38" x14ac:dyDescent="0.25">
      <c r="B99" s="120"/>
      <c r="C99" s="305" t="s">
        <v>391</v>
      </c>
      <c r="D99" s="23" t="str">
        <f>INDEX(Unit_Rates!$C$7:$K$113,MATCH($C99,Unit_Rates!$C$7:$C$113,0),5)</f>
        <v>Subtransmission</v>
      </c>
      <c r="E99" s="23" t="str">
        <f>INDEX(Unit_Rates!$C$7:$K$113,MATCH($C99,Unit_Rates!$C$7:$C$113,0),6)</f>
        <v>Augmentation</v>
      </c>
      <c r="F99" s="23" t="str">
        <f t="shared" si="43"/>
        <v>SubtransmissionAugmentation</v>
      </c>
      <c r="G99" s="170">
        <f>INDEX(Unit_Rates!$C$7:$K$113,MATCH($C99,Unit_Rates!$C$7:$C$113,0),7)</f>
        <v>0</v>
      </c>
      <c r="H99" s="350"/>
      <c r="I99" s="123" t="s">
        <v>362</v>
      </c>
      <c r="J99" s="108"/>
      <c r="K99" s="211">
        <f t="shared" si="44"/>
        <v>0</v>
      </c>
      <c r="L99" s="211">
        <f t="shared" si="45"/>
        <v>0</v>
      </c>
      <c r="M99" s="211"/>
      <c r="N99" s="447"/>
      <c r="O99" s="447"/>
      <c r="P99" s="447"/>
      <c r="Q99" s="314">
        <f>P99-H99*VLOOKUP(C99,Unit_Rates!$C$7:$E$113,3,FALSE)</f>
        <v>0</v>
      </c>
      <c r="R99" s="134">
        <v>0</v>
      </c>
      <c r="S99" s="134">
        <v>0</v>
      </c>
      <c r="T99" s="134">
        <v>0</v>
      </c>
      <c r="U99" s="134">
        <v>0</v>
      </c>
      <c r="V99" s="134">
        <v>0</v>
      </c>
      <c r="W99" s="134">
        <v>0</v>
      </c>
      <c r="X99" s="134">
        <v>0</v>
      </c>
      <c r="Y99" s="304">
        <f t="shared" si="35"/>
        <v>0</v>
      </c>
      <c r="Z99" s="6"/>
      <c r="AA99" s="6"/>
      <c r="AB99" s="6"/>
      <c r="AC99" s="6"/>
      <c r="AD99" s="6"/>
      <c r="AE99" s="6"/>
      <c r="AF99" s="6"/>
      <c r="AG99" s="8"/>
      <c r="AI99" s="97"/>
      <c r="AK99" s="358"/>
      <c r="AL99" s="358"/>
    </row>
    <row r="100" spans="2:38" x14ac:dyDescent="0.25">
      <c r="B100" s="120"/>
      <c r="C100" s="23" t="s">
        <v>404</v>
      </c>
      <c r="G100" s="212"/>
      <c r="H100" s="122"/>
      <c r="I100" s="167"/>
      <c r="K100" s="212">
        <v>0</v>
      </c>
      <c r="L100" s="212">
        <v>0</v>
      </c>
      <c r="M100" s="170">
        <v>0</v>
      </c>
      <c r="N100" s="170">
        <v>0</v>
      </c>
      <c r="O100" s="170">
        <v>0</v>
      </c>
      <c r="P100" s="170">
        <v>0</v>
      </c>
      <c r="Q100" s="163"/>
      <c r="R100" s="127"/>
      <c r="S100" s="127"/>
      <c r="T100" s="127"/>
      <c r="U100" s="127"/>
      <c r="V100" s="127"/>
      <c r="W100" s="127"/>
      <c r="X100" s="127"/>
      <c r="AI100" s="97"/>
      <c r="AK100" s="358"/>
      <c r="AL100" s="358"/>
    </row>
    <row r="101" spans="2:38" x14ac:dyDescent="0.25">
      <c r="B101" s="120"/>
      <c r="G101" s="166"/>
      <c r="H101" s="122"/>
      <c r="I101" s="167"/>
      <c r="K101" s="212"/>
      <c r="L101" s="212"/>
      <c r="M101" s="170"/>
      <c r="N101" s="170"/>
      <c r="O101" s="170"/>
      <c r="P101" s="206"/>
      <c r="R101" s="127"/>
      <c r="S101" s="127"/>
      <c r="T101" s="127"/>
      <c r="U101" s="127"/>
      <c r="V101" s="127"/>
      <c r="W101" s="127"/>
      <c r="X101" s="127"/>
      <c r="AI101" s="97"/>
      <c r="AK101" s="358"/>
      <c r="AL101" s="358"/>
    </row>
    <row r="102" spans="2:38" x14ac:dyDescent="0.25">
      <c r="B102" s="312" t="s">
        <v>369</v>
      </c>
      <c r="G102" s="166"/>
      <c r="H102" s="122"/>
      <c r="I102" s="167"/>
      <c r="K102" s="212"/>
      <c r="L102" s="212"/>
      <c r="M102" s="170"/>
      <c r="N102" s="170"/>
      <c r="O102" s="170"/>
      <c r="P102" s="206"/>
      <c r="R102" s="127"/>
      <c r="S102" s="127"/>
      <c r="T102" s="127"/>
      <c r="U102" s="127"/>
      <c r="V102" s="127"/>
      <c r="W102" s="127"/>
      <c r="X102" s="127"/>
      <c r="Y102" s="77"/>
      <c r="Z102" s="6"/>
      <c r="AA102" s="6"/>
      <c r="AB102" s="6"/>
      <c r="AC102" s="6"/>
      <c r="AD102" s="6"/>
      <c r="AE102" s="6"/>
      <c r="AF102" s="6"/>
      <c r="AG102" s="8"/>
      <c r="AI102" s="97"/>
      <c r="AK102" s="358"/>
      <c r="AL102" s="358"/>
    </row>
    <row r="103" spans="2:38" x14ac:dyDescent="0.25">
      <c r="B103" s="335" t="s">
        <v>376</v>
      </c>
      <c r="G103" s="170"/>
      <c r="H103" s="306"/>
      <c r="I103" s="123"/>
      <c r="K103" s="212"/>
      <c r="L103" s="212"/>
      <c r="M103" s="170"/>
      <c r="N103" s="170"/>
      <c r="O103" s="170"/>
      <c r="P103" s="170"/>
      <c r="Q103" s="163"/>
      <c r="R103" s="189"/>
      <c r="S103" s="189"/>
      <c r="T103" s="189"/>
      <c r="U103" s="189"/>
      <c r="V103" s="189"/>
      <c r="W103" s="189"/>
      <c r="X103" s="189"/>
      <c r="Y103" s="77"/>
      <c r="Z103" s="6"/>
      <c r="AA103" s="6"/>
      <c r="AB103" s="6"/>
      <c r="AC103" s="6"/>
      <c r="AD103" s="6"/>
      <c r="AE103" s="6"/>
      <c r="AF103" s="6"/>
      <c r="AG103" s="8"/>
      <c r="AI103" s="97"/>
      <c r="AK103" s="358"/>
      <c r="AL103" s="358"/>
    </row>
    <row r="104" spans="2:38" x14ac:dyDescent="0.25">
      <c r="B104" s="120"/>
      <c r="C104" s="305" t="s">
        <v>373</v>
      </c>
      <c r="D104" s="23" t="str">
        <f>Unit_Rates!G137</f>
        <v>Distribution system assets</v>
      </c>
      <c r="E104" t="s">
        <v>27</v>
      </c>
      <c r="F104" s="23" t="str">
        <f t="shared" ref="F104:F107" si="46">D104&amp;E104</f>
        <v>Distribution system assetsAugmentation</v>
      </c>
      <c r="G104" s="170">
        <f>Unit_Rates!I137</f>
        <v>0.37850311702696687</v>
      </c>
      <c r="H104" s="345"/>
      <c r="I104" s="123" t="s">
        <v>294</v>
      </c>
      <c r="K104" s="212">
        <f t="shared" ref="K104:K107" si="47">G104*H104</f>
        <v>0</v>
      </c>
      <c r="L104" s="212">
        <f>SUMPRODUCT(R$5:X$5,R104:X104)/Thousands</f>
        <v>0</v>
      </c>
      <c r="M104" s="170">
        <f>$H104*Unit_Rates!K137</f>
        <v>0</v>
      </c>
      <c r="N104" s="446"/>
      <c r="O104" s="446"/>
      <c r="P104" s="446"/>
      <c r="Q104" s="314">
        <f>P104-H104*Unit_Rates!$E$137</f>
        <v>0</v>
      </c>
      <c r="R104" s="346">
        <f t="shared" ref="R104:X104" si="48">$AI104*Z104*$H104</f>
        <v>0</v>
      </c>
      <c r="S104" s="346">
        <f t="shared" si="48"/>
        <v>0</v>
      </c>
      <c r="T104" s="346">
        <f t="shared" si="48"/>
        <v>0</v>
      </c>
      <c r="U104" s="346">
        <f t="shared" si="48"/>
        <v>0</v>
      </c>
      <c r="V104" s="346">
        <f t="shared" si="48"/>
        <v>0</v>
      </c>
      <c r="W104" s="346">
        <f t="shared" si="48"/>
        <v>0</v>
      </c>
      <c r="X104" s="346">
        <f t="shared" si="48"/>
        <v>0</v>
      </c>
      <c r="Y104" s="304">
        <f t="shared" ref="Y104" si="49">SUM(R104:X104)</f>
        <v>0</v>
      </c>
      <c r="Z104" s="283">
        <v>2.5727805595989302E-2</v>
      </c>
      <c r="AA104" s="283">
        <v>0</v>
      </c>
      <c r="AB104" s="283">
        <v>0.32115728206047139</v>
      </c>
      <c r="AC104" s="283">
        <v>0</v>
      </c>
      <c r="AD104" s="283">
        <v>0</v>
      </c>
      <c r="AE104" s="283">
        <v>0</v>
      </c>
      <c r="AF104" s="283">
        <v>0.65311491234353936</v>
      </c>
      <c r="AG104" s="281">
        <f>SUM(Z104:AF104)</f>
        <v>1</v>
      </c>
      <c r="AH104" s="23" t="b">
        <f>AG104=1</f>
        <v>1</v>
      </c>
      <c r="AI104" s="96">
        <v>1.08</v>
      </c>
      <c r="AK104" s="358"/>
      <c r="AL104" s="358"/>
    </row>
    <row r="105" spans="2:38" x14ac:dyDescent="0.25">
      <c r="B105" s="120"/>
      <c r="C105" s="305" t="s">
        <v>374</v>
      </c>
      <c r="D105" s="23" t="str">
        <f>Unit_Rates!G138</f>
        <v>Distribution system assets</v>
      </c>
      <c r="E105" t="s">
        <v>27</v>
      </c>
      <c r="F105" s="23" t="str">
        <f t="shared" si="46"/>
        <v>Distribution system assetsAugmentation</v>
      </c>
      <c r="G105" s="170">
        <f>INDEX(Unit_Rates!$C$7:$K$113,MATCH($C105,Unit_Rates!$C$7:$C$113,0),7)</f>
        <v>15.42</v>
      </c>
      <c r="H105" s="345"/>
      <c r="I105" s="123" t="s">
        <v>294</v>
      </c>
      <c r="K105" s="212">
        <f t="shared" si="47"/>
        <v>0</v>
      </c>
      <c r="L105" s="212">
        <f>SUMPRODUCT(R$5:X$5,R105:X105)/Thousands</f>
        <v>0</v>
      </c>
      <c r="M105" s="170"/>
      <c r="N105" s="446"/>
      <c r="O105" s="446"/>
      <c r="P105" s="446"/>
      <c r="Q105" s="314">
        <f>P105-H105*VLOOKUP(C105,Unit_Rates!$C$7:$E$113,3,FALSE)</f>
        <v>0</v>
      </c>
      <c r="R105" s="134">
        <v>0</v>
      </c>
      <c r="S105" s="134">
        <v>0</v>
      </c>
      <c r="T105" s="134">
        <v>0</v>
      </c>
      <c r="U105" s="134">
        <v>0</v>
      </c>
      <c r="V105" s="134">
        <v>0</v>
      </c>
      <c r="W105" s="134">
        <v>0</v>
      </c>
      <c r="X105" s="134">
        <v>0</v>
      </c>
      <c r="Y105" s="304">
        <f t="shared" ref="Y105:Y107" si="50">SUM(R105:X105)</f>
        <v>0</v>
      </c>
      <c r="Z105" s="6"/>
      <c r="AA105" s="6"/>
      <c r="AB105" s="6"/>
      <c r="AC105" s="6"/>
      <c r="AD105" s="6"/>
      <c r="AE105" s="6"/>
      <c r="AF105" s="6"/>
      <c r="AG105" s="8"/>
      <c r="AI105" s="97"/>
      <c r="AK105" s="358"/>
      <c r="AL105" s="358"/>
    </row>
    <row r="106" spans="2:38" x14ac:dyDescent="0.25">
      <c r="B106" s="120"/>
      <c r="C106" s="305" t="s">
        <v>386</v>
      </c>
      <c r="D106" s="23" t="str">
        <f>INDEX(Unit_Rates!$C$7:$K$113,MATCH($C106,Unit_Rates!$C$7:$C$113,0),5)</f>
        <v>Distribution system assets</v>
      </c>
      <c r="E106" s="23" t="str">
        <f>INDEX(Unit_Rates!$C$7:$K$113,MATCH($C106,Unit_Rates!$C$7:$C$113,0),6)</f>
        <v>Augmentation</v>
      </c>
      <c r="F106" s="23" t="str">
        <f t="shared" si="46"/>
        <v>Distribution system assetsAugmentation</v>
      </c>
      <c r="G106" s="170">
        <f>INDEX(Unit_Rates!$C$7:$K$113,MATCH($C106,Unit_Rates!$C$7:$C$113,0),7)</f>
        <v>6.06</v>
      </c>
      <c r="H106" s="345"/>
      <c r="I106" s="123" t="s">
        <v>294</v>
      </c>
      <c r="K106" s="212">
        <f t="shared" si="47"/>
        <v>0</v>
      </c>
      <c r="L106" s="212">
        <f>SUMPRODUCT(R$5:X$5,R106:X106)/Thousands</f>
        <v>0</v>
      </c>
      <c r="M106" s="170"/>
      <c r="N106" s="446"/>
      <c r="O106" s="446"/>
      <c r="P106" s="446"/>
      <c r="Q106" s="314">
        <f>P106-H106*VLOOKUP(C106,Unit_Rates!$C$7:$E$113,3,FALSE)</f>
        <v>0</v>
      </c>
      <c r="R106" s="134">
        <v>0</v>
      </c>
      <c r="S106" s="134">
        <v>0</v>
      </c>
      <c r="T106" s="134">
        <v>0</v>
      </c>
      <c r="U106" s="134">
        <v>0</v>
      </c>
      <c r="V106" s="134">
        <v>0</v>
      </c>
      <c r="W106" s="134">
        <v>0</v>
      </c>
      <c r="X106" s="134">
        <v>0</v>
      </c>
      <c r="Y106" s="304">
        <f t="shared" si="50"/>
        <v>0</v>
      </c>
      <c r="Z106" s="6"/>
      <c r="AA106" s="6"/>
      <c r="AB106" s="6"/>
      <c r="AC106" s="6"/>
      <c r="AD106" s="6"/>
      <c r="AE106" s="6"/>
      <c r="AF106" s="6"/>
      <c r="AG106" s="8"/>
      <c r="AI106" s="97"/>
      <c r="AK106" s="358"/>
      <c r="AL106" s="358"/>
    </row>
    <row r="107" spans="2:38" x14ac:dyDescent="0.25">
      <c r="B107" s="120"/>
      <c r="C107" s="23" t="s">
        <v>375</v>
      </c>
      <c r="D107" s="23" t="str">
        <f>INDEX(Unit_Rates!$C$7:$K$113,MATCH($C107,Unit_Rates!$C$7:$C$113,0),5)</f>
        <v>Distribution system assets</v>
      </c>
      <c r="E107" s="23" t="str">
        <f>INDEX(Unit_Rates!$C$7:$K$113,MATCH($C107,Unit_Rates!$C$7:$C$113,0),6)</f>
        <v>Augmentation</v>
      </c>
      <c r="F107" s="23" t="str">
        <f t="shared" si="46"/>
        <v>Distribution system assetsAugmentation</v>
      </c>
      <c r="G107" s="170">
        <f>INDEX(Unit_Rates!$C$7:$K$113,MATCH($C107,Unit_Rates!$C$7:$C$113,0),7)</f>
        <v>6.1704999999999996E-2</v>
      </c>
      <c r="H107" s="345"/>
      <c r="I107" s="123" t="s">
        <v>295</v>
      </c>
      <c r="K107" s="251">
        <f t="shared" si="47"/>
        <v>0</v>
      </c>
      <c r="L107" s="251">
        <f>SUMPRODUCT(R$5:X$5,R107:X107)/Thousands</f>
        <v>0</v>
      </c>
      <c r="M107" s="211"/>
      <c r="N107" s="447"/>
      <c r="O107" s="447"/>
      <c r="P107" s="447"/>
      <c r="Q107" s="314">
        <f>P107-H107*VLOOKUP(C107,Unit_Rates!$C$7:$E$113,3,FALSE)</f>
        <v>0</v>
      </c>
      <c r="R107" s="134">
        <v>0</v>
      </c>
      <c r="S107" s="134">
        <v>0</v>
      </c>
      <c r="T107" s="134">
        <v>0</v>
      </c>
      <c r="U107" s="134">
        <v>0</v>
      </c>
      <c r="V107" s="134">
        <v>0</v>
      </c>
      <c r="W107" s="134">
        <v>0</v>
      </c>
      <c r="X107" s="134">
        <v>0</v>
      </c>
      <c r="Y107" s="304">
        <f t="shared" si="50"/>
        <v>0</v>
      </c>
      <c r="Z107" s="6"/>
      <c r="AA107" s="6"/>
      <c r="AB107" s="6"/>
      <c r="AC107" s="6"/>
      <c r="AD107" s="6"/>
      <c r="AE107" s="6"/>
      <c r="AF107" s="6"/>
      <c r="AI107" s="97"/>
      <c r="AK107" s="358"/>
      <c r="AL107" s="358"/>
    </row>
    <row r="108" spans="2:38" x14ac:dyDescent="0.25">
      <c r="B108" s="120"/>
      <c r="C108" s="23" t="s">
        <v>403</v>
      </c>
      <c r="G108" s="166"/>
      <c r="H108" s="307"/>
      <c r="I108" s="123"/>
      <c r="K108" s="212">
        <v>0</v>
      </c>
      <c r="L108" s="212">
        <v>0</v>
      </c>
      <c r="M108" s="212">
        <v>0</v>
      </c>
      <c r="N108" s="212">
        <v>0</v>
      </c>
      <c r="O108" s="212">
        <v>0</v>
      </c>
      <c r="P108" s="212">
        <v>0</v>
      </c>
      <c r="Q108" s="152"/>
      <c r="Y108" s="77"/>
      <c r="Z108" s="6"/>
      <c r="AA108" s="6"/>
      <c r="AB108" s="6"/>
      <c r="AC108" s="6"/>
      <c r="AD108" s="6"/>
      <c r="AE108" s="6"/>
      <c r="AF108" s="6"/>
      <c r="AG108" s="8"/>
      <c r="AI108" s="97"/>
      <c r="AK108" s="358"/>
      <c r="AL108" s="358"/>
    </row>
    <row r="109" spans="2:38" x14ac:dyDescent="0.25">
      <c r="B109" s="120"/>
      <c r="G109" s="166"/>
      <c r="H109" s="307"/>
      <c r="I109" s="123"/>
      <c r="K109" s="212"/>
      <c r="L109" s="212"/>
      <c r="M109" s="170"/>
      <c r="N109" s="170"/>
      <c r="O109" s="170"/>
      <c r="P109" s="206"/>
      <c r="Q109" s="152"/>
      <c r="Y109" s="77"/>
      <c r="Z109" s="6"/>
      <c r="AA109" s="6"/>
      <c r="AB109" s="6"/>
      <c r="AC109" s="6"/>
      <c r="AD109" s="6"/>
      <c r="AE109" s="6"/>
      <c r="AF109" s="6"/>
      <c r="AG109" s="8"/>
      <c r="AI109" s="97"/>
      <c r="AK109" s="358"/>
      <c r="AL109" s="358"/>
    </row>
    <row r="110" spans="2:38" x14ac:dyDescent="0.25">
      <c r="B110" s="120" t="s">
        <v>330</v>
      </c>
      <c r="G110" s="167"/>
      <c r="H110" s="84"/>
      <c r="I110" s="167"/>
      <c r="K110" s="343">
        <f t="shared" ref="K110:P110" si="51">K108+K100</f>
        <v>0</v>
      </c>
      <c r="L110" s="343">
        <f t="shared" si="51"/>
        <v>0</v>
      </c>
      <c r="M110" s="344">
        <f t="shared" si="51"/>
        <v>0</v>
      </c>
      <c r="N110" s="344">
        <f t="shared" si="51"/>
        <v>0</v>
      </c>
      <c r="O110" s="344">
        <f t="shared" si="51"/>
        <v>0</v>
      </c>
      <c r="P110" s="344">
        <f t="shared" si="51"/>
        <v>0</v>
      </c>
      <c r="R110" s="216"/>
      <c r="S110" s="216"/>
      <c r="T110" s="216"/>
      <c r="Z110" s="8"/>
      <c r="AA110" s="8"/>
      <c r="AB110" s="8"/>
      <c r="AK110" s="358"/>
      <c r="AL110" s="358"/>
    </row>
    <row r="111" spans="2:38" x14ac:dyDescent="0.25">
      <c r="B111" s="195" t="s">
        <v>307</v>
      </c>
      <c r="C111" s="327"/>
      <c r="D111" s="102"/>
      <c r="E111" s="102"/>
      <c r="F111" s="102"/>
      <c r="G111" s="102"/>
      <c r="H111" s="102"/>
      <c r="I111" s="102"/>
      <c r="J111" s="102"/>
      <c r="K111" s="217">
        <v>0</v>
      </c>
      <c r="L111" s="217">
        <v>0</v>
      </c>
      <c r="M111" s="217">
        <v>0</v>
      </c>
      <c r="N111" s="217">
        <v>0</v>
      </c>
      <c r="O111" s="217">
        <v>0</v>
      </c>
      <c r="P111" s="218">
        <v>0</v>
      </c>
      <c r="Q111" s="163"/>
    </row>
    <row r="112" spans="2:38" x14ac:dyDescent="0.25">
      <c r="B112" s="120" t="s">
        <v>33</v>
      </c>
      <c r="C112" s="330"/>
      <c r="D112" s="3"/>
      <c r="E112" s="3"/>
      <c r="F112" s="3"/>
      <c r="G112" s="3"/>
      <c r="H112" s="3"/>
      <c r="I112" s="3"/>
      <c r="J112" s="3"/>
      <c r="K112" s="340">
        <f t="shared" ref="K112:P112" si="52">K79+K110</f>
        <v>6415.1894396014732</v>
      </c>
      <c r="L112" s="340">
        <f t="shared" si="52"/>
        <v>695.59936051625402</v>
      </c>
      <c r="M112" s="341">
        <f t="shared" si="52"/>
        <v>900</v>
      </c>
      <c r="N112" s="341">
        <f t="shared" si="52"/>
        <v>5771.9784649304966</v>
      </c>
      <c r="O112" s="341">
        <f t="shared" si="52"/>
        <v>118.56633470328464</v>
      </c>
      <c r="P112" s="342">
        <f t="shared" si="52"/>
        <v>13901.333599751513</v>
      </c>
    </row>
    <row r="113" spans="2:36" x14ac:dyDescent="0.25">
      <c r="B113" s="224" t="s">
        <v>307</v>
      </c>
      <c r="C113" s="331"/>
      <c r="D113" s="225"/>
      <c r="E113" s="225"/>
      <c r="F113" s="225"/>
      <c r="G113" s="225"/>
      <c r="H113" s="225"/>
      <c r="I113" s="225"/>
      <c r="J113" s="225"/>
      <c r="K113" s="226">
        <v>0</v>
      </c>
      <c r="L113" s="226">
        <v>0</v>
      </c>
      <c r="M113" s="227">
        <v>0</v>
      </c>
      <c r="N113" s="227">
        <v>0</v>
      </c>
      <c r="O113" s="332">
        <v>0</v>
      </c>
      <c r="P113" s="363">
        <v>0</v>
      </c>
      <c r="Q113" s="319"/>
      <c r="AB113" s="183"/>
    </row>
    <row r="114" spans="2:36" x14ac:dyDescent="0.25">
      <c r="O114" s="320"/>
      <c r="P114" s="321"/>
      <c r="Q114" s="305"/>
    </row>
    <row r="115" spans="2:36" x14ac:dyDescent="0.25">
      <c r="O115" s="305"/>
      <c r="P115" s="321"/>
      <c r="Q115" s="305"/>
    </row>
    <row r="116" spans="2:36" outlineLevel="1" x14ac:dyDescent="0.25">
      <c r="C116" s="23" t="s">
        <v>293</v>
      </c>
      <c r="D116" t="s">
        <v>3</v>
      </c>
      <c r="E116" t="s">
        <v>27</v>
      </c>
      <c r="F116" s="23" t="str">
        <f t="shared" ref="F116:F138" si="53">D116&amp;E116</f>
        <v>SubtransmissionAugmentation</v>
      </c>
      <c r="K116" s="232">
        <v>5052.0119408999981</v>
      </c>
      <c r="L116" s="232">
        <v>0</v>
      </c>
      <c r="M116" s="233">
        <v>0</v>
      </c>
      <c r="N116" s="233">
        <v>5214.5861697865021</v>
      </c>
      <c r="O116" s="233">
        <v>116.63277233187296</v>
      </c>
      <c r="P116" s="233">
        <v>10383.230883018374</v>
      </c>
    </row>
    <row r="117" spans="2:36" outlineLevel="1" x14ac:dyDescent="0.25">
      <c r="D117" t="s">
        <v>3</v>
      </c>
      <c r="E117" t="s">
        <v>28</v>
      </c>
      <c r="F117" s="23" t="str">
        <f t="shared" si="53"/>
        <v>SubtransmissionReplacement</v>
      </c>
      <c r="K117" s="232">
        <v>0</v>
      </c>
      <c r="L117" s="232">
        <v>0</v>
      </c>
      <c r="M117" s="233">
        <v>0</v>
      </c>
      <c r="N117" s="233">
        <v>0</v>
      </c>
      <c r="O117" s="233">
        <v>0</v>
      </c>
      <c r="P117" s="233">
        <v>0</v>
      </c>
    </row>
    <row r="118" spans="2:36" outlineLevel="1" x14ac:dyDescent="0.25">
      <c r="D118" t="s">
        <v>2</v>
      </c>
      <c r="E118" t="s">
        <v>27</v>
      </c>
      <c r="F118" s="23" t="str">
        <f t="shared" si="53"/>
        <v>SCADA/Network controlAugmentation</v>
      </c>
      <c r="K118" s="232">
        <v>1363.1774987014728</v>
      </c>
      <c r="L118" s="232">
        <v>0</v>
      </c>
      <c r="M118" s="233">
        <v>0</v>
      </c>
      <c r="N118" s="233">
        <v>557.39229514399574</v>
      </c>
      <c r="O118" s="233">
        <v>1.9335623714116765</v>
      </c>
      <c r="P118" s="233">
        <v>1922.5033562168803</v>
      </c>
    </row>
    <row r="119" spans="2:36" outlineLevel="1" x14ac:dyDescent="0.25">
      <c r="D119" t="s">
        <v>2</v>
      </c>
      <c r="E119" t="s">
        <v>28</v>
      </c>
      <c r="F119" s="23" t="str">
        <f t="shared" si="53"/>
        <v>SCADA/Network controlReplacement</v>
      </c>
      <c r="K119" s="232">
        <v>0</v>
      </c>
      <c r="L119" s="232">
        <v>0</v>
      </c>
      <c r="M119" s="233">
        <v>0</v>
      </c>
      <c r="N119" s="233">
        <v>0</v>
      </c>
      <c r="O119" s="233">
        <v>0</v>
      </c>
      <c r="P119" s="233">
        <v>0</v>
      </c>
    </row>
    <row r="120" spans="2:36" outlineLevel="1" x14ac:dyDescent="0.25">
      <c r="D120" t="s">
        <v>4</v>
      </c>
      <c r="E120" t="s">
        <v>29</v>
      </c>
      <c r="F120" s="23" t="str">
        <f t="shared" si="53"/>
        <v>LandNon-Network</v>
      </c>
      <c r="K120" s="337">
        <v>0</v>
      </c>
      <c r="L120" s="337">
        <v>0</v>
      </c>
      <c r="M120" s="338">
        <v>0</v>
      </c>
      <c r="N120" s="338">
        <v>0</v>
      </c>
      <c r="O120" s="338">
        <v>0</v>
      </c>
      <c r="P120" s="338">
        <v>0</v>
      </c>
    </row>
    <row r="121" spans="2:36" outlineLevel="1" x14ac:dyDescent="0.25">
      <c r="K121" s="232">
        <v>6415.1894396014704</v>
      </c>
      <c r="L121" s="232">
        <v>0</v>
      </c>
      <c r="M121" s="233">
        <v>0</v>
      </c>
      <c r="N121" s="233">
        <v>5771.9784649304975</v>
      </c>
      <c r="O121" s="233">
        <v>118.56633470328464</v>
      </c>
      <c r="P121" s="233">
        <v>12305.734239235255</v>
      </c>
    </row>
    <row r="122" spans="2:36" outlineLevel="1" x14ac:dyDescent="0.25">
      <c r="C122" s="23" t="s">
        <v>331</v>
      </c>
      <c r="D122" t="s">
        <v>3</v>
      </c>
      <c r="E122" t="s">
        <v>27</v>
      </c>
      <c r="F122" s="23" t="str">
        <f t="shared" ref="F122:F126" si="54">D122&amp;E122</f>
        <v>SubtransmissionAugmentation</v>
      </c>
      <c r="K122" s="4"/>
      <c r="L122" s="232">
        <v>586.92708796619115</v>
      </c>
      <c r="M122" s="233">
        <v>759.39457272866309</v>
      </c>
      <c r="N122" s="233">
        <v>0</v>
      </c>
      <c r="O122" s="229"/>
      <c r="P122" s="233">
        <v>1346.3216606948542</v>
      </c>
    </row>
    <row r="123" spans="2:36" outlineLevel="1" x14ac:dyDescent="0.25">
      <c r="D123" t="s">
        <v>3</v>
      </c>
      <c r="E123" t="s">
        <v>28</v>
      </c>
      <c r="F123" s="23" t="str">
        <f t="shared" si="54"/>
        <v>SubtransmissionReplacement</v>
      </c>
      <c r="K123" s="4"/>
      <c r="L123" s="232">
        <v>0</v>
      </c>
      <c r="M123" s="233">
        <v>0</v>
      </c>
      <c r="N123" s="233">
        <v>0</v>
      </c>
      <c r="O123" s="229"/>
      <c r="P123" s="233">
        <v>0</v>
      </c>
    </row>
    <row r="124" spans="2:36" outlineLevel="1" x14ac:dyDescent="0.25">
      <c r="D124" t="s">
        <v>2</v>
      </c>
      <c r="E124" t="s">
        <v>27</v>
      </c>
      <c r="F124" s="23" t="str">
        <f t="shared" si="54"/>
        <v>SCADA/Network controlAugmentation</v>
      </c>
      <c r="K124" s="4"/>
      <c r="L124" s="232">
        <v>108.67227255006287</v>
      </c>
      <c r="M124" s="233">
        <v>140.60542727133685</v>
      </c>
      <c r="N124" s="233">
        <v>0</v>
      </c>
      <c r="O124" s="229"/>
      <c r="P124" s="233">
        <v>249.27769982139972</v>
      </c>
    </row>
    <row r="125" spans="2:36" outlineLevel="1" x14ac:dyDescent="0.25">
      <c r="D125" t="s">
        <v>2</v>
      </c>
      <c r="E125" t="s">
        <v>28</v>
      </c>
      <c r="F125" s="23" t="str">
        <f t="shared" si="54"/>
        <v>SCADA/Network controlReplacement</v>
      </c>
      <c r="K125" s="4"/>
      <c r="L125" s="232">
        <v>0</v>
      </c>
      <c r="M125" s="233">
        <v>0</v>
      </c>
      <c r="N125" s="233">
        <v>0</v>
      </c>
      <c r="O125" s="229"/>
      <c r="P125" s="233">
        <v>0</v>
      </c>
    </row>
    <row r="126" spans="2:36" outlineLevel="1" x14ac:dyDescent="0.25">
      <c r="D126" t="s">
        <v>4</v>
      </c>
      <c r="E126" t="s">
        <v>29</v>
      </c>
      <c r="F126" s="23" t="str">
        <f t="shared" si="54"/>
        <v>LandNon-Network</v>
      </c>
      <c r="K126" s="230"/>
      <c r="L126" s="337">
        <v>0</v>
      </c>
      <c r="M126" s="338">
        <v>0</v>
      </c>
      <c r="N126" s="338">
        <v>0</v>
      </c>
      <c r="O126" s="231"/>
      <c r="P126" s="338">
        <v>0</v>
      </c>
    </row>
    <row r="127" spans="2:36" s="108" customFormat="1" outlineLevel="1" x14ac:dyDescent="0.25">
      <c r="B127"/>
      <c r="C127" s="23"/>
      <c r="D127"/>
      <c r="E127"/>
      <c r="F127"/>
      <c r="G127"/>
      <c r="H127"/>
      <c r="I127"/>
      <c r="J127"/>
      <c r="K127" s="232">
        <v>0</v>
      </c>
      <c r="L127" s="232">
        <v>695.59936051625402</v>
      </c>
      <c r="M127" s="233">
        <v>900</v>
      </c>
      <c r="N127" s="233">
        <v>0</v>
      </c>
      <c r="O127" s="233">
        <v>0</v>
      </c>
      <c r="P127" s="233">
        <v>1595.5993605162539</v>
      </c>
      <c r="X127"/>
      <c r="Y127"/>
      <c r="Z127"/>
      <c r="AA127"/>
      <c r="AB127"/>
      <c r="AC127"/>
      <c r="AD127"/>
      <c r="AE127"/>
      <c r="AF127"/>
      <c r="AG127"/>
      <c r="AH127"/>
      <c r="AI127"/>
      <c r="AJ127"/>
    </row>
    <row r="128" spans="2:36" s="108" customFormat="1" outlineLevel="1" x14ac:dyDescent="0.25">
      <c r="B128"/>
      <c r="C128" s="23" t="s">
        <v>332</v>
      </c>
      <c r="D128" t="s">
        <v>3</v>
      </c>
      <c r="E128" t="s">
        <v>27</v>
      </c>
      <c r="F128" s="23" t="str">
        <f t="shared" ref="F128:F132" si="55">D128&amp;E128</f>
        <v>SubtransmissionAugmentation</v>
      </c>
      <c r="G128"/>
      <c r="H128"/>
      <c r="I128"/>
      <c r="J128"/>
      <c r="K128" s="232">
        <v>5052.0119408999981</v>
      </c>
      <c r="L128" s="232">
        <v>586.92708796619115</v>
      </c>
      <c r="M128" s="233">
        <v>759.39457272866309</v>
      </c>
      <c r="N128" s="233">
        <v>5214.5861697865021</v>
      </c>
      <c r="O128" s="233">
        <v>116.63277233187296</v>
      </c>
      <c r="P128" s="233">
        <v>11729.552543713227</v>
      </c>
      <c r="X128"/>
      <c r="Y128"/>
      <c r="Z128"/>
      <c r="AA128"/>
      <c r="AB128"/>
      <c r="AC128"/>
      <c r="AD128"/>
      <c r="AE128"/>
      <c r="AF128"/>
      <c r="AG128"/>
      <c r="AH128"/>
      <c r="AI128"/>
      <c r="AJ128"/>
    </row>
    <row r="129" spans="2:36" s="108" customFormat="1" outlineLevel="1" x14ac:dyDescent="0.25">
      <c r="B129"/>
      <c r="C129" s="23"/>
      <c r="D129" t="s">
        <v>3</v>
      </c>
      <c r="E129" t="s">
        <v>28</v>
      </c>
      <c r="F129" s="23" t="str">
        <f t="shared" si="55"/>
        <v>SubtransmissionReplacement</v>
      </c>
      <c r="G129"/>
      <c r="H129"/>
      <c r="I129"/>
      <c r="J129"/>
      <c r="K129" s="232">
        <v>0</v>
      </c>
      <c r="L129" s="232">
        <v>0</v>
      </c>
      <c r="M129" s="233">
        <v>0</v>
      </c>
      <c r="N129" s="233">
        <v>0</v>
      </c>
      <c r="O129" s="233">
        <v>0</v>
      </c>
      <c r="P129" s="233">
        <v>0</v>
      </c>
      <c r="X129"/>
      <c r="Y129"/>
      <c r="Z129"/>
      <c r="AA129"/>
      <c r="AB129"/>
      <c r="AC129"/>
      <c r="AD129"/>
      <c r="AE129"/>
      <c r="AF129"/>
      <c r="AG129"/>
      <c r="AH129"/>
      <c r="AI129"/>
      <c r="AJ129"/>
    </row>
    <row r="130" spans="2:36" s="108" customFormat="1" outlineLevel="1" x14ac:dyDescent="0.25">
      <c r="B130"/>
      <c r="C130" s="23"/>
      <c r="D130" t="s">
        <v>2</v>
      </c>
      <c r="E130" t="s">
        <v>27</v>
      </c>
      <c r="F130" s="23" t="str">
        <f t="shared" si="55"/>
        <v>SCADA/Network controlAugmentation</v>
      </c>
      <c r="G130"/>
      <c r="H130"/>
      <c r="I130"/>
      <c r="J130"/>
      <c r="K130" s="232">
        <v>1363.1774987014728</v>
      </c>
      <c r="L130" s="232">
        <v>108.67227255006287</v>
      </c>
      <c r="M130" s="233">
        <v>140.60542727133685</v>
      </c>
      <c r="N130" s="233">
        <v>557.39229514399574</v>
      </c>
      <c r="O130" s="233">
        <v>1.9335623714116765</v>
      </c>
      <c r="P130" s="233">
        <v>2171.78105603828</v>
      </c>
      <c r="X130"/>
      <c r="Y130"/>
      <c r="Z130"/>
      <c r="AA130"/>
      <c r="AB130"/>
      <c r="AC130"/>
      <c r="AD130"/>
      <c r="AE130"/>
      <c r="AF130"/>
      <c r="AG130"/>
      <c r="AH130"/>
      <c r="AI130"/>
      <c r="AJ130"/>
    </row>
    <row r="131" spans="2:36" s="108" customFormat="1" outlineLevel="1" x14ac:dyDescent="0.25">
      <c r="B131"/>
      <c r="C131" s="23"/>
      <c r="D131" t="s">
        <v>2</v>
      </c>
      <c r="E131" t="s">
        <v>28</v>
      </c>
      <c r="F131" s="23" t="str">
        <f t="shared" si="55"/>
        <v>SCADA/Network controlReplacement</v>
      </c>
      <c r="G131"/>
      <c r="H131"/>
      <c r="I131"/>
      <c r="J131"/>
      <c r="K131" s="232">
        <v>0</v>
      </c>
      <c r="L131" s="232">
        <v>0</v>
      </c>
      <c r="M131" s="233">
        <v>0</v>
      </c>
      <c r="N131" s="233">
        <v>0</v>
      </c>
      <c r="O131" s="233">
        <v>0</v>
      </c>
      <c r="P131" s="233">
        <v>0</v>
      </c>
      <c r="X131"/>
      <c r="Y131"/>
      <c r="Z131"/>
      <c r="AA131"/>
      <c r="AB131"/>
      <c r="AC131"/>
      <c r="AD131"/>
      <c r="AE131"/>
      <c r="AF131"/>
      <c r="AG131"/>
      <c r="AH131"/>
      <c r="AI131"/>
      <c r="AJ131"/>
    </row>
    <row r="132" spans="2:36" s="108" customFormat="1" outlineLevel="1" x14ac:dyDescent="0.25">
      <c r="B132"/>
      <c r="C132" s="23"/>
      <c r="D132" t="s">
        <v>4</v>
      </c>
      <c r="E132" t="s">
        <v>29</v>
      </c>
      <c r="F132" s="23" t="str">
        <f t="shared" si="55"/>
        <v>LandNon-Network</v>
      </c>
      <c r="G132"/>
      <c r="H132"/>
      <c r="I132"/>
      <c r="J132"/>
      <c r="K132" s="337">
        <v>0</v>
      </c>
      <c r="L132" s="337">
        <v>0</v>
      </c>
      <c r="M132" s="338">
        <v>0</v>
      </c>
      <c r="N132" s="338">
        <v>0</v>
      </c>
      <c r="O132" s="338">
        <v>0</v>
      </c>
      <c r="P132" s="338">
        <v>0</v>
      </c>
      <c r="X132"/>
      <c r="Y132"/>
      <c r="Z132"/>
      <c r="AA132"/>
      <c r="AB132"/>
      <c r="AC132"/>
      <c r="AD132"/>
      <c r="AE132"/>
      <c r="AF132"/>
      <c r="AG132"/>
      <c r="AH132"/>
      <c r="AI132"/>
      <c r="AJ132"/>
    </row>
    <row r="133" spans="2:36" s="108" customFormat="1" outlineLevel="1" x14ac:dyDescent="0.25">
      <c r="B133"/>
      <c r="C133" s="23"/>
      <c r="D133"/>
      <c r="E133"/>
      <c r="F133"/>
      <c r="G133"/>
      <c r="H133"/>
      <c r="I133"/>
      <c r="J133"/>
      <c r="K133" s="232">
        <v>6415.1894396014704</v>
      </c>
      <c r="L133" s="232">
        <v>695.59936051625402</v>
      </c>
      <c r="M133" s="233">
        <v>900</v>
      </c>
      <c r="N133" s="233">
        <v>5771.9784649304975</v>
      </c>
      <c r="O133" s="233">
        <v>118.56633470328464</v>
      </c>
      <c r="P133" s="233">
        <v>13901.333599751508</v>
      </c>
      <c r="X133"/>
      <c r="Y133"/>
      <c r="Z133"/>
      <c r="AA133"/>
      <c r="AB133"/>
      <c r="AC133"/>
      <c r="AD133"/>
      <c r="AE133"/>
      <c r="AF133"/>
      <c r="AG133"/>
      <c r="AH133"/>
      <c r="AI133"/>
      <c r="AJ133"/>
    </row>
    <row r="134" spans="2:36" s="108" customFormat="1" outlineLevel="1" x14ac:dyDescent="0.25">
      <c r="B134"/>
      <c r="C134" s="23"/>
      <c r="D134"/>
      <c r="E134"/>
      <c r="F134"/>
      <c r="G134"/>
      <c r="H134"/>
      <c r="I134"/>
      <c r="J134"/>
      <c r="K134" s="96">
        <v>0</v>
      </c>
      <c r="L134" s="96">
        <v>0</v>
      </c>
      <c r="M134" s="339">
        <v>0</v>
      </c>
      <c r="N134" s="339">
        <v>0</v>
      </c>
      <c r="O134" s="339">
        <v>0</v>
      </c>
      <c r="P134" s="339">
        <v>0</v>
      </c>
      <c r="X134"/>
      <c r="Y134"/>
      <c r="Z134"/>
      <c r="AA134"/>
      <c r="AB134"/>
      <c r="AC134"/>
      <c r="AD134"/>
      <c r="AE134"/>
      <c r="AF134"/>
      <c r="AG134"/>
      <c r="AH134"/>
      <c r="AI134"/>
      <c r="AJ134"/>
    </row>
    <row r="135" spans="2:36" s="108" customFormat="1" outlineLevel="1" x14ac:dyDescent="0.25">
      <c r="B135"/>
      <c r="C135" s="23" t="s">
        <v>360</v>
      </c>
      <c r="D135" t="s">
        <v>3</v>
      </c>
      <c r="E135" t="s">
        <v>27</v>
      </c>
      <c r="F135" s="23" t="str">
        <f t="shared" ref="F135:F136" si="56">D135&amp;E135</f>
        <v>SubtransmissionAugmentation</v>
      </c>
      <c r="G135"/>
      <c r="H135"/>
      <c r="I135"/>
      <c r="J135"/>
      <c r="K135" s="232">
        <v>0</v>
      </c>
      <c r="L135" s="232">
        <v>0</v>
      </c>
      <c r="M135" s="233">
        <v>0</v>
      </c>
      <c r="N135" s="233">
        <v>0</v>
      </c>
      <c r="O135" s="233">
        <v>0</v>
      </c>
      <c r="P135" s="233">
        <v>0</v>
      </c>
      <c r="X135"/>
      <c r="Y135"/>
      <c r="Z135"/>
      <c r="AA135"/>
      <c r="AB135"/>
      <c r="AC135"/>
      <c r="AD135"/>
      <c r="AE135"/>
      <c r="AF135"/>
      <c r="AG135"/>
      <c r="AH135"/>
      <c r="AI135"/>
      <c r="AJ135"/>
    </row>
    <row r="136" spans="2:36" s="108" customFormat="1" outlineLevel="1" x14ac:dyDescent="0.25">
      <c r="B136"/>
      <c r="C136" s="23"/>
      <c r="D136" t="s">
        <v>3</v>
      </c>
      <c r="E136" t="s">
        <v>28</v>
      </c>
      <c r="F136" s="23" t="str">
        <f t="shared" si="56"/>
        <v>SubtransmissionReplacement</v>
      </c>
      <c r="G136"/>
      <c r="H136"/>
      <c r="I136"/>
      <c r="J136"/>
      <c r="K136" s="232">
        <v>0</v>
      </c>
      <c r="L136" s="232">
        <v>0</v>
      </c>
      <c r="M136" s="233">
        <v>0</v>
      </c>
      <c r="N136" s="233">
        <v>0</v>
      </c>
      <c r="O136" s="233">
        <v>0</v>
      </c>
      <c r="P136" s="233">
        <v>0</v>
      </c>
      <c r="X136"/>
      <c r="Y136"/>
      <c r="Z136"/>
      <c r="AA136"/>
      <c r="AB136"/>
      <c r="AC136"/>
      <c r="AD136"/>
      <c r="AE136"/>
      <c r="AF136"/>
      <c r="AG136"/>
      <c r="AH136"/>
      <c r="AI136"/>
      <c r="AJ136"/>
    </row>
    <row r="137" spans="2:36" s="108" customFormat="1" outlineLevel="1" x14ac:dyDescent="0.25">
      <c r="B137"/>
      <c r="C137" s="305"/>
      <c r="D137" t="s">
        <v>92</v>
      </c>
      <c r="E137" t="s">
        <v>27</v>
      </c>
      <c r="F137" s="23" t="str">
        <f t="shared" si="53"/>
        <v>Distribution system assetsAugmentation</v>
      </c>
      <c r="G137"/>
      <c r="H137"/>
      <c r="I137"/>
      <c r="J137"/>
      <c r="K137" s="232">
        <v>0</v>
      </c>
      <c r="L137" s="232">
        <v>0</v>
      </c>
      <c r="M137" s="233">
        <v>0</v>
      </c>
      <c r="N137" s="233">
        <v>0</v>
      </c>
      <c r="O137" s="233">
        <v>0</v>
      </c>
      <c r="P137" s="233">
        <v>0</v>
      </c>
      <c r="X137"/>
      <c r="Y137"/>
      <c r="Z137"/>
      <c r="AA137"/>
      <c r="AB137"/>
      <c r="AC137"/>
      <c r="AD137"/>
      <c r="AE137"/>
      <c r="AF137"/>
      <c r="AG137"/>
      <c r="AH137"/>
      <c r="AI137"/>
      <c r="AJ137"/>
    </row>
    <row r="138" spans="2:36" s="108" customFormat="1" outlineLevel="1" x14ac:dyDescent="0.25">
      <c r="B138"/>
      <c r="C138" s="23"/>
      <c r="D138" t="s">
        <v>92</v>
      </c>
      <c r="E138" t="s">
        <v>28</v>
      </c>
      <c r="F138" s="23" t="str">
        <f t="shared" si="53"/>
        <v>Distribution system assetsReplacement</v>
      </c>
      <c r="G138"/>
      <c r="H138"/>
      <c r="I138"/>
      <c r="J138"/>
      <c r="K138" s="337">
        <v>0</v>
      </c>
      <c r="L138" s="337">
        <v>0</v>
      </c>
      <c r="M138" s="338">
        <v>0</v>
      </c>
      <c r="N138" s="338">
        <v>0</v>
      </c>
      <c r="O138" s="338">
        <v>0</v>
      </c>
      <c r="P138" s="338">
        <v>0</v>
      </c>
      <c r="X138"/>
      <c r="Y138"/>
      <c r="Z138"/>
      <c r="AA138"/>
      <c r="AB138"/>
      <c r="AC138"/>
      <c r="AD138"/>
      <c r="AE138"/>
      <c r="AF138"/>
      <c r="AG138"/>
      <c r="AH138"/>
      <c r="AI138"/>
      <c r="AJ138"/>
    </row>
    <row r="139" spans="2:36" s="108" customFormat="1" outlineLevel="1" x14ac:dyDescent="0.25">
      <c r="B139"/>
      <c r="C139" s="23"/>
      <c r="D139"/>
      <c r="E139"/>
      <c r="F139"/>
      <c r="G139"/>
      <c r="H139"/>
      <c r="I139"/>
      <c r="J139"/>
      <c r="K139" s="304">
        <v>0</v>
      </c>
      <c r="L139" s="304">
        <v>0</v>
      </c>
      <c r="M139" s="304">
        <v>0</v>
      </c>
      <c r="N139" s="304">
        <v>0</v>
      </c>
      <c r="O139" s="304">
        <v>0</v>
      </c>
      <c r="P139" s="304">
        <v>0</v>
      </c>
      <c r="X139"/>
      <c r="Y139"/>
      <c r="Z139"/>
      <c r="AA139"/>
      <c r="AB139"/>
      <c r="AC139"/>
      <c r="AD139"/>
      <c r="AE139"/>
      <c r="AF139"/>
      <c r="AG139"/>
      <c r="AH139"/>
      <c r="AI139"/>
      <c r="AJ139"/>
    </row>
    <row r="140" spans="2:36" s="108" customFormat="1" outlineLevel="1" x14ac:dyDescent="0.25">
      <c r="B140"/>
      <c r="C140" s="23"/>
      <c r="D140"/>
      <c r="E140"/>
      <c r="F140"/>
      <c r="G140"/>
      <c r="H140"/>
      <c r="I140"/>
      <c r="J140"/>
      <c r="K140" s="336">
        <v>0</v>
      </c>
      <c r="L140" s="336">
        <v>0</v>
      </c>
      <c r="M140" s="314">
        <v>0</v>
      </c>
      <c r="N140" s="314">
        <v>0</v>
      </c>
      <c r="O140" s="314">
        <v>0</v>
      </c>
      <c r="P140" s="314">
        <v>0</v>
      </c>
      <c r="X140"/>
      <c r="Y140"/>
      <c r="Z140"/>
      <c r="AA140"/>
      <c r="AB140"/>
      <c r="AC140"/>
      <c r="AD140"/>
      <c r="AE140"/>
      <c r="AF140"/>
      <c r="AG140"/>
      <c r="AH140"/>
      <c r="AI140"/>
      <c r="AJ140"/>
    </row>
    <row r="141" spans="2:36" outlineLevel="1" x14ac:dyDescent="0.25">
      <c r="C141" s="23" t="s">
        <v>369</v>
      </c>
      <c r="D141" t="s">
        <v>3</v>
      </c>
      <c r="E141" t="s">
        <v>27</v>
      </c>
      <c r="F141" s="23" t="str">
        <f t="shared" ref="F141:F144" si="57">D141&amp;E141</f>
        <v>SubtransmissionAugmentation</v>
      </c>
      <c r="K141" s="232">
        <v>0</v>
      </c>
      <c r="L141" s="232">
        <v>0</v>
      </c>
      <c r="M141" s="232">
        <v>0</v>
      </c>
      <c r="N141" s="232">
        <v>0</v>
      </c>
      <c r="O141" s="232">
        <v>0</v>
      </c>
      <c r="P141" s="232">
        <v>0</v>
      </c>
    </row>
    <row r="142" spans="2:36" outlineLevel="1" x14ac:dyDescent="0.25">
      <c r="D142" t="s">
        <v>3</v>
      </c>
      <c r="E142" t="s">
        <v>28</v>
      </c>
      <c r="F142" s="23" t="str">
        <f t="shared" si="57"/>
        <v>SubtransmissionReplacement</v>
      </c>
      <c r="K142" s="232">
        <v>0</v>
      </c>
      <c r="L142" s="232">
        <v>0</v>
      </c>
      <c r="M142" s="232">
        <v>0</v>
      </c>
      <c r="N142" s="232">
        <v>0</v>
      </c>
      <c r="O142" s="232">
        <v>0</v>
      </c>
      <c r="P142" s="232">
        <v>0</v>
      </c>
    </row>
    <row r="143" spans="2:36" outlineLevel="1" x14ac:dyDescent="0.25">
      <c r="D143" t="s">
        <v>92</v>
      </c>
      <c r="E143" t="s">
        <v>27</v>
      </c>
      <c r="F143" s="23" t="str">
        <f t="shared" si="57"/>
        <v>Distribution system assetsAugmentation</v>
      </c>
      <c r="K143" s="232">
        <v>0</v>
      </c>
      <c r="L143" s="232">
        <v>0</v>
      </c>
      <c r="M143" s="232">
        <v>0</v>
      </c>
      <c r="N143" s="232">
        <v>0</v>
      </c>
      <c r="O143" s="232">
        <v>0</v>
      </c>
      <c r="P143" s="232">
        <v>0</v>
      </c>
    </row>
    <row r="144" spans="2:36" outlineLevel="1" x14ac:dyDescent="0.25">
      <c r="D144" t="s">
        <v>92</v>
      </c>
      <c r="E144" t="s">
        <v>28</v>
      </c>
      <c r="F144" s="23" t="str">
        <f t="shared" si="57"/>
        <v>Distribution system assetsReplacement</v>
      </c>
      <c r="K144" s="337">
        <v>0</v>
      </c>
      <c r="L144" s="337">
        <v>0</v>
      </c>
      <c r="M144" s="337">
        <v>0</v>
      </c>
      <c r="N144" s="337">
        <v>0</v>
      </c>
      <c r="O144" s="337">
        <v>0</v>
      </c>
      <c r="P144" s="337">
        <v>0</v>
      </c>
    </row>
    <row r="145" spans="11:16" outlineLevel="1" x14ac:dyDescent="0.25">
      <c r="K145" s="304">
        <v>0</v>
      </c>
      <c r="L145" s="304">
        <v>0</v>
      </c>
      <c r="M145" s="304">
        <v>0</v>
      </c>
      <c r="N145" s="304">
        <v>0</v>
      </c>
      <c r="O145" s="304">
        <v>0</v>
      </c>
      <c r="P145" s="304">
        <v>0</v>
      </c>
    </row>
    <row r="146" spans="11:16" outlineLevel="1" x14ac:dyDescent="0.25">
      <c r="K146" s="336">
        <f t="shared" ref="K146:P146" si="58">K145-K108</f>
        <v>0</v>
      </c>
      <c r="L146" s="336">
        <f t="shared" si="58"/>
        <v>0</v>
      </c>
      <c r="M146" s="336">
        <f t="shared" si="58"/>
        <v>0</v>
      </c>
      <c r="N146" s="336">
        <f t="shared" si="58"/>
        <v>0</v>
      </c>
      <c r="O146" s="336">
        <f t="shared" si="58"/>
        <v>0</v>
      </c>
      <c r="P146" s="336">
        <f t="shared" si="58"/>
        <v>0</v>
      </c>
    </row>
  </sheetData>
  <mergeCells count="3">
    <mergeCell ref="G3:I3"/>
    <mergeCell ref="K3:P3"/>
    <mergeCell ref="R3:X3"/>
  </mergeCells>
  <pageMargins left="0.25" right="0.25" top="0.75" bottom="0.75" header="0.3" footer="0.3"/>
  <pageSetup paperSize="9" scale="65" fitToHeight="0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B1:AL140"/>
  <sheetViews>
    <sheetView zoomScale="85" zoomScaleNormal="85" workbookViewId="0">
      <pane xSplit="3" ySplit="4" topLeftCell="D5" activePane="bottomRight" state="frozen"/>
      <selection activeCell="K4" sqref="K4:P4"/>
      <selection pane="topRight" activeCell="K4" sqref="K4:P4"/>
      <selection pane="bottomLeft" activeCell="K4" sqref="K4:P4"/>
      <selection pane="bottomRight" activeCell="N12" sqref="N12"/>
    </sheetView>
  </sheetViews>
  <sheetFormatPr defaultRowHeight="15" outlineLevelRow="1" outlineLevelCol="1" x14ac:dyDescent="0.25"/>
  <cols>
    <col min="1" max="1" width="2.28515625" customWidth="1"/>
    <col min="2" max="2" width="3" customWidth="1"/>
    <col min="3" max="3" width="54.28515625" style="23" customWidth="1"/>
    <col min="4" max="4" width="20" hidden="1" customWidth="1" outlineLevel="1"/>
    <col min="5" max="6" width="15.28515625" hidden="1" customWidth="1" outlineLevel="1"/>
    <col min="7" max="7" width="9.28515625" customWidth="1" collapsed="1"/>
    <col min="8" max="8" width="8.7109375" customWidth="1"/>
    <col min="9" max="9" width="10.7109375" customWidth="1"/>
    <col min="10" max="10" width="2.28515625" customWidth="1"/>
    <col min="11" max="11" width="9.7109375" bestFit="1" customWidth="1"/>
    <col min="12" max="12" width="9.5703125" bestFit="1" customWidth="1"/>
    <col min="13" max="13" width="9.42578125" style="108" customWidth="1"/>
    <col min="14" max="14" width="12.28515625" style="108" customWidth="1"/>
    <col min="15" max="15" width="10.42578125" style="108" customWidth="1"/>
    <col min="16" max="16" width="12.140625" style="108" customWidth="1"/>
    <col min="17" max="17" width="9.7109375" style="108" customWidth="1"/>
    <col min="18" max="18" width="9" style="108" customWidth="1"/>
    <col min="19" max="19" width="9.7109375" style="108" customWidth="1"/>
    <col min="20" max="22" width="9" style="108" customWidth="1"/>
    <col min="23" max="23" width="8.85546875" style="108" customWidth="1"/>
    <col min="24" max="24" width="8.85546875" customWidth="1"/>
    <col min="25" max="25" width="9.85546875" customWidth="1"/>
    <col min="26" max="35" width="8.85546875" hidden="1" customWidth="1" outlineLevel="1"/>
    <col min="36" max="36" width="8.85546875" customWidth="1" collapsed="1"/>
  </cols>
  <sheetData>
    <row r="1" spans="2:33" x14ac:dyDescent="0.25">
      <c r="N1" s="452" t="s">
        <v>112</v>
      </c>
      <c r="O1"/>
    </row>
    <row r="2" spans="2:33" x14ac:dyDescent="0.25">
      <c r="B2" s="24" t="str">
        <f>STN_4&amp;" Volumes &amp; Unit Rates"</f>
        <v>ELM Volumes &amp; Unit Rates</v>
      </c>
    </row>
    <row r="3" spans="2:33" x14ac:dyDescent="0.25">
      <c r="B3" s="23" t="str">
        <f>STN_4</f>
        <v>ELM</v>
      </c>
      <c r="G3" s="462" t="s">
        <v>21</v>
      </c>
      <c r="H3" s="463"/>
      <c r="I3" s="464"/>
      <c r="K3" s="462" t="s">
        <v>276</v>
      </c>
      <c r="L3" s="463"/>
      <c r="M3" s="463"/>
      <c r="N3" s="463"/>
      <c r="O3" s="463"/>
      <c r="P3" s="464"/>
      <c r="R3" s="462" t="s">
        <v>277</v>
      </c>
      <c r="S3" s="463"/>
      <c r="T3" s="463"/>
      <c r="U3" s="463"/>
      <c r="V3" s="463"/>
      <c r="W3" s="463"/>
      <c r="X3" s="464"/>
    </row>
    <row r="4" spans="2:33" ht="45" customHeight="1" x14ac:dyDescent="0.25">
      <c r="C4" s="323"/>
      <c r="D4" t="s">
        <v>5</v>
      </c>
      <c r="E4" t="s">
        <v>20</v>
      </c>
      <c r="G4" s="109" t="s">
        <v>278</v>
      </c>
      <c r="H4" s="110" t="s">
        <v>279</v>
      </c>
      <c r="I4" s="111" t="s">
        <v>280</v>
      </c>
      <c r="K4" s="111" t="s">
        <v>21</v>
      </c>
      <c r="L4" s="111" t="s">
        <v>22</v>
      </c>
      <c r="M4" s="109" t="s">
        <v>23</v>
      </c>
      <c r="N4" s="109" t="s">
        <v>24</v>
      </c>
      <c r="O4" s="112" t="s">
        <v>25</v>
      </c>
      <c r="P4" s="112" t="s">
        <v>26</v>
      </c>
      <c r="Q4" s="113" t="s">
        <v>281</v>
      </c>
      <c r="R4" s="114" t="s">
        <v>282</v>
      </c>
      <c r="S4" s="114" t="s">
        <v>82</v>
      </c>
      <c r="T4" s="114" t="s">
        <v>83</v>
      </c>
      <c r="U4" s="114" t="s">
        <v>84</v>
      </c>
      <c r="V4" s="114" t="s">
        <v>283</v>
      </c>
      <c r="W4" s="114" t="s">
        <v>85</v>
      </c>
      <c r="X4" s="115" t="s">
        <v>284</v>
      </c>
      <c r="Y4" s="115" t="s">
        <v>285</v>
      </c>
    </row>
    <row r="5" spans="2:33" x14ac:dyDescent="0.25">
      <c r="B5" s="116" t="s">
        <v>286</v>
      </c>
      <c r="C5" s="324"/>
      <c r="D5" s="117"/>
      <c r="E5" s="117"/>
      <c r="F5" s="117"/>
      <c r="G5" s="118"/>
      <c r="H5" s="110"/>
      <c r="I5" s="111"/>
      <c r="J5" s="117"/>
      <c r="K5" s="111"/>
      <c r="L5" s="111"/>
      <c r="M5" s="112"/>
      <c r="N5" s="109"/>
      <c r="O5" s="112"/>
      <c r="P5" s="112"/>
      <c r="R5" s="353">
        <f>Lab_Rates!$C$6*Escalators!C7*(1+Escalators!C17)*Escalators!$G$32</f>
        <v>162.48739067582716</v>
      </c>
      <c r="S5" s="353">
        <f>Lab_Rates!$C$7*Escalators!C7*(1+Escalators!C17)*Escalators!$G$32</f>
        <v>151.79743076294375</v>
      </c>
      <c r="T5" s="353">
        <f>Lab_Rates!$C$8*Escalators!C7*(1+Escalators!C17)*Escalators!$G$32</f>
        <v>176.38433856257552</v>
      </c>
      <c r="U5" s="353">
        <f>Lab_Rates!$C$9*Escalators!C7*(1+Escalators!C17)*Escalators!$G$32</f>
        <v>229.83413812699234</v>
      </c>
      <c r="V5" s="353">
        <f>Lab_Rates!$C$6*Escalators!C7*(1+Escalators!C17)*Escalators!$G$32</f>
        <v>162.48739067582716</v>
      </c>
      <c r="W5" s="353">
        <f>Lab_Rates!$C$10*Escalators!C7*(1+Escalators!C17)*Escalators!$G$32</f>
        <v>162.48739067582716</v>
      </c>
      <c r="X5" s="353">
        <f>Lab_Rates!$C$5*Escalators!C7*(1+Escalators!C17)*Escalators!$G$32</f>
        <v>133.62449891104205</v>
      </c>
    </row>
    <row r="6" spans="2:33" x14ac:dyDescent="0.25">
      <c r="B6" s="120"/>
      <c r="G6" s="121"/>
      <c r="H6" s="122"/>
      <c r="I6" s="123"/>
      <c r="K6" s="121"/>
      <c r="L6" s="121"/>
      <c r="M6" s="124"/>
      <c r="N6" s="125"/>
      <c r="O6" s="124"/>
      <c r="P6" s="126"/>
      <c r="R6" s="127"/>
      <c r="S6" s="127"/>
      <c r="T6" s="127"/>
      <c r="U6" s="127"/>
      <c r="V6" s="127"/>
      <c r="W6" s="127"/>
      <c r="X6" s="127"/>
    </row>
    <row r="7" spans="2:33" x14ac:dyDescent="0.25">
      <c r="B7" s="84" t="s">
        <v>343</v>
      </c>
      <c r="D7" t="s">
        <v>1</v>
      </c>
      <c r="E7" t="s">
        <v>1</v>
      </c>
      <c r="G7" s="128"/>
      <c r="H7" s="129"/>
      <c r="I7" s="130"/>
      <c r="K7" s="131"/>
      <c r="L7" s="352">
        <f>SUMPRODUCT(R$5:X$5,R7:X7)/Thousands</f>
        <v>0</v>
      </c>
      <c r="M7" s="132">
        <v>800</v>
      </c>
      <c r="N7" s="132"/>
      <c r="O7" s="128"/>
      <c r="P7" s="293">
        <f t="shared" ref="P7" si="0">SUM(K7:O7)</f>
        <v>800</v>
      </c>
      <c r="Q7" s="277"/>
      <c r="R7" s="134">
        <v>0</v>
      </c>
      <c r="S7" s="135"/>
      <c r="T7" s="135"/>
      <c r="U7" s="135"/>
      <c r="V7" s="135"/>
      <c r="W7" s="135"/>
      <c r="X7" s="135"/>
    </row>
    <row r="8" spans="2:33" x14ac:dyDescent="0.25">
      <c r="B8" s="136"/>
      <c r="C8" s="325"/>
      <c r="D8" s="46"/>
      <c r="E8" s="46"/>
      <c r="F8" s="46"/>
      <c r="G8" s="137"/>
      <c r="H8" s="138"/>
      <c r="I8" s="139"/>
      <c r="K8" s="140"/>
      <c r="L8" s="140"/>
      <c r="M8" s="137"/>
      <c r="N8" s="141"/>
      <c r="O8" s="141"/>
      <c r="P8" s="142"/>
      <c r="Q8" s="133"/>
      <c r="R8" s="127"/>
      <c r="S8" s="127"/>
      <c r="T8" s="127"/>
      <c r="U8" s="127"/>
      <c r="V8" s="127"/>
      <c r="W8" s="127"/>
      <c r="X8" s="127"/>
    </row>
    <row r="9" spans="2:33" x14ac:dyDescent="0.25">
      <c r="B9" s="143" t="s">
        <v>288</v>
      </c>
      <c r="C9" s="324"/>
      <c r="D9" s="117"/>
      <c r="E9" s="117"/>
      <c r="F9" s="117"/>
      <c r="G9" s="144"/>
      <c r="H9" s="110"/>
      <c r="I9" s="111"/>
      <c r="K9" s="145"/>
      <c r="L9" s="145"/>
      <c r="M9" s="144"/>
      <c r="N9" s="146"/>
      <c r="O9" s="146"/>
      <c r="P9" s="147"/>
      <c r="R9" s="127"/>
      <c r="S9" s="127"/>
      <c r="T9" s="127"/>
      <c r="U9" s="127"/>
      <c r="V9" s="127"/>
      <c r="W9" s="127"/>
      <c r="X9" s="127"/>
    </row>
    <row r="10" spans="2:33" x14ac:dyDescent="0.25">
      <c r="B10" s="84"/>
      <c r="C10" s="23" t="s">
        <v>289</v>
      </c>
      <c r="D10" t="s">
        <v>1</v>
      </c>
      <c r="E10" t="s">
        <v>1</v>
      </c>
      <c r="G10" s="128"/>
      <c r="H10" s="129"/>
      <c r="I10" s="130"/>
      <c r="K10" s="148"/>
      <c r="L10" s="172">
        <f>SUMPRODUCT(R$5:X$5,R10:X10)/Thousands</f>
        <v>70.51952755330899</v>
      </c>
      <c r="M10" s="150"/>
      <c r="N10" s="351">
        <v>0</v>
      </c>
      <c r="O10" s="151"/>
      <c r="P10" s="293">
        <f>SUM(K10:O10)</f>
        <v>70.51952755330899</v>
      </c>
      <c r="Q10" s="314"/>
      <c r="R10" s="134">
        <v>302</v>
      </c>
      <c r="S10" s="134">
        <v>92</v>
      </c>
      <c r="T10" s="134">
        <v>32</v>
      </c>
      <c r="U10" s="134">
        <v>8</v>
      </c>
      <c r="V10" s="134"/>
      <c r="W10" s="134"/>
      <c r="X10" s="134">
        <v>0</v>
      </c>
      <c r="Y10" s="304">
        <f>SUM(R10:X10)</f>
        <v>434</v>
      </c>
      <c r="AA10" s="6"/>
      <c r="AB10" s="6"/>
      <c r="AC10" s="6"/>
      <c r="AD10" s="6"/>
      <c r="AE10" s="6"/>
      <c r="AF10" s="6"/>
      <c r="AG10" s="6"/>
    </row>
    <row r="11" spans="2:33" x14ac:dyDescent="0.25">
      <c r="B11" s="84"/>
      <c r="C11" s="23" t="s">
        <v>290</v>
      </c>
      <c r="D11" t="s">
        <v>1</v>
      </c>
      <c r="E11" t="s">
        <v>1</v>
      </c>
      <c r="G11" s="128"/>
      <c r="H11" s="129"/>
      <c r="I11" s="130"/>
      <c r="K11" s="148"/>
      <c r="L11" s="172">
        <f>SUMPRODUCT(R$5:X$5,R11:X11)/Thousands</f>
        <v>509.32100205734537</v>
      </c>
      <c r="M11" s="150"/>
      <c r="N11" s="132"/>
      <c r="O11" s="151"/>
      <c r="P11" s="293">
        <f>SUM(K11:O11)</f>
        <v>509.32100205734537</v>
      </c>
      <c r="Q11" s="277"/>
      <c r="R11" s="134">
        <v>192</v>
      </c>
      <c r="S11" s="134"/>
      <c r="T11" s="134">
        <v>904</v>
      </c>
      <c r="U11" s="134">
        <v>208</v>
      </c>
      <c r="V11" s="134">
        <v>707</v>
      </c>
      <c r="W11" s="134">
        <v>960</v>
      </c>
      <c r="X11" s="134">
        <v>0</v>
      </c>
      <c r="Y11" s="304">
        <f t="shared" ref="Y11:Y13" si="1">SUM(R11:X11)</f>
        <v>2971</v>
      </c>
      <c r="AA11" s="6"/>
      <c r="AB11" s="6"/>
      <c r="AC11" s="6"/>
      <c r="AD11" s="6"/>
      <c r="AE11" s="6"/>
      <c r="AF11" s="6"/>
      <c r="AG11" s="6"/>
    </row>
    <row r="12" spans="2:33" x14ac:dyDescent="0.25">
      <c r="B12" s="84"/>
      <c r="C12" s="23" t="s">
        <v>291</v>
      </c>
      <c r="D12" t="s">
        <v>1</v>
      </c>
      <c r="E12" t="s">
        <v>1</v>
      </c>
      <c r="G12" s="128"/>
      <c r="H12" s="129"/>
      <c r="I12" s="130"/>
      <c r="K12" s="148"/>
      <c r="L12" s="172">
        <f>SUMPRODUCT(R$5:X$5,R12:X12)/Thousands</f>
        <v>14.110747085006041</v>
      </c>
      <c r="M12" s="150"/>
      <c r="N12" s="351">
        <v>0</v>
      </c>
      <c r="O12" s="151"/>
      <c r="P12" s="293">
        <f>SUM(K12:O12)</f>
        <v>14.110747085006041</v>
      </c>
      <c r="Q12" s="314"/>
      <c r="R12" s="134"/>
      <c r="S12" s="134"/>
      <c r="T12" s="134">
        <v>80</v>
      </c>
      <c r="U12" s="134"/>
      <c r="V12" s="134"/>
      <c r="W12" s="134"/>
      <c r="X12" s="134">
        <v>0</v>
      </c>
      <c r="Y12" s="304">
        <f t="shared" si="1"/>
        <v>80</v>
      </c>
      <c r="AA12" s="6"/>
      <c r="AB12" s="6"/>
      <c r="AC12" s="6"/>
      <c r="AD12" s="6"/>
      <c r="AE12" s="6"/>
      <c r="AF12" s="6"/>
      <c r="AG12" s="6"/>
    </row>
    <row r="13" spans="2:33" x14ac:dyDescent="0.25">
      <c r="B13" s="84"/>
      <c r="C13" s="23" t="s">
        <v>292</v>
      </c>
      <c r="D13" t="s">
        <v>1</v>
      </c>
      <c r="E13" t="s">
        <v>1</v>
      </c>
      <c r="G13" s="128"/>
      <c r="H13" s="129"/>
      <c r="I13" s="130"/>
      <c r="K13" s="148"/>
      <c r="L13" s="172">
        <v>60</v>
      </c>
      <c r="M13" s="150"/>
      <c r="N13" s="351">
        <v>0</v>
      </c>
      <c r="O13" s="151"/>
      <c r="P13" s="293">
        <f>SUM(K13:O13)</f>
        <v>60</v>
      </c>
      <c r="Q13" s="277"/>
      <c r="R13" s="134">
        <v>0</v>
      </c>
      <c r="S13" s="134">
        <v>0</v>
      </c>
      <c r="T13" s="134">
        <v>0</v>
      </c>
      <c r="U13" s="134">
        <v>0</v>
      </c>
      <c r="V13" s="134">
        <v>0</v>
      </c>
      <c r="W13" s="134">
        <v>0</v>
      </c>
      <c r="X13" s="134">
        <v>0</v>
      </c>
      <c r="Y13" s="304">
        <f t="shared" si="1"/>
        <v>0</v>
      </c>
      <c r="AA13" s="6"/>
      <c r="AB13" s="6"/>
      <c r="AC13" s="6"/>
      <c r="AD13" s="6"/>
      <c r="AE13" s="6"/>
      <c r="AF13" s="6"/>
      <c r="AG13" s="6"/>
    </row>
    <row r="14" spans="2:33" x14ac:dyDescent="0.25">
      <c r="B14" s="136"/>
      <c r="C14" s="325"/>
      <c r="D14" s="46"/>
      <c r="E14" s="46"/>
      <c r="F14" s="46"/>
      <c r="G14" s="140"/>
      <c r="H14" s="138"/>
      <c r="I14" s="139"/>
      <c r="K14" s="154"/>
      <c r="L14" s="155"/>
      <c r="M14" s="155"/>
      <c r="N14" s="156"/>
      <c r="O14" s="155"/>
      <c r="P14" s="157"/>
      <c r="R14" s="127"/>
      <c r="S14" s="127"/>
      <c r="T14" s="127"/>
      <c r="U14" s="127"/>
      <c r="V14" s="127"/>
      <c r="W14" s="127"/>
      <c r="X14" s="127"/>
    </row>
    <row r="15" spans="2:33" x14ac:dyDescent="0.25">
      <c r="B15" s="143" t="s">
        <v>293</v>
      </c>
      <c r="C15" s="324"/>
      <c r="D15" s="117"/>
      <c r="E15" s="117"/>
      <c r="F15" s="117"/>
      <c r="G15" s="158"/>
      <c r="H15" s="116"/>
      <c r="I15" s="159"/>
      <c r="K15" s="160"/>
      <c r="L15" s="160"/>
      <c r="M15" s="161"/>
      <c r="N15" s="161"/>
      <c r="O15" s="161"/>
      <c r="P15" s="162"/>
      <c r="Q15" s="163"/>
      <c r="R15" s="164"/>
      <c r="S15" s="127"/>
      <c r="T15" s="127"/>
      <c r="U15" s="127"/>
      <c r="V15" s="127"/>
      <c r="W15" s="127"/>
      <c r="X15" s="127"/>
      <c r="AA15" s="5"/>
      <c r="AB15" s="5"/>
      <c r="AC15" s="5"/>
      <c r="AD15" s="5"/>
      <c r="AE15" s="5"/>
      <c r="AF15" s="5"/>
      <c r="AG15" s="5"/>
    </row>
    <row r="16" spans="2:33" x14ac:dyDescent="0.25">
      <c r="B16" s="120" t="s">
        <v>114</v>
      </c>
      <c r="G16" s="166"/>
      <c r="H16" s="84"/>
      <c r="I16" s="167"/>
      <c r="J16" s="165"/>
      <c r="K16" s="149"/>
      <c r="L16" s="149"/>
      <c r="M16" s="168"/>
      <c r="N16" s="168"/>
      <c r="O16" s="168"/>
      <c r="P16" s="169"/>
      <c r="R16" s="127"/>
      <c r="S16" s="127"/>
      <c r="T16" s="127"/>
      <c r="U16" s="127"/>
      <c r="V16" s="127"/>
      <c r="W16" s="127"/>
      <c r="X16" s="127"/>
      <c r="AA16" s="5"/>
      <c r="AB16" s="5"/>
      <c r="AC16" s="5"/>
      <c r="AD16" s="5"/>
      <c r="AE16" s="5"/>
      <c r="AF16" s="5"/>
      <c r="AG16" s="5"/>
    </row>
    <row r="17" spans="2:38" x14ac:dyDescent="0.25">
      <c r="B17" s="84"/>
      <c r="C17" s="23" t="s">
        <v>353</v>
      </c>
      <c r="D17" s="23" t="str">
        <f>INDEX(Unit_Rates!$C$7:$K$113,MATCH($C17,Unit_Rates!$C$7:$C$113,0),5)</f>
        <v>Subtransmission</v>
      </c>
      <c r="E17" s="23" t="str">
        <f>INDEX(Unit_Rates!$C$7:$K$113,MATCH($C17,Unit_Rates!$C$7:$C$113,0),6)</f>
        <v>Augmentation</v>
      </c>
      <c r="F17" s="23" t="str">
        <f>D17&amp;E17</f>
        <v>SubtransmissionAugmentation</v>
      </c>
      <c r="G17" s="170">
        <f>INDEX(Unit_Rates!$C$7:$K$113,MATCH($C17,Unit_Rates!$C$7:$C$113,0),7)</f>
        <v>185.47500200000002</v>
      </c>
      <c r="H17" s="171"/>
      <c r="I17" s="123" t="s">
        <v>294</v>
      </c>
      <c r="J17" s="165"/>
      <c r="K17" s="172">
        <f t="shared" ref="K17:K25" si="2">G17*$H17</f>
        <v>0</v>
      </c>
      <c r="L17" s="173">
        <f t="shared" ref="L17:L50" si="3">SUMPRODUCT(R$5:X$5,R17:X17)/Thousands</f>
        <v>0</v>
      </c>
      <c r="M17" s="174"/>
      <c r="N17" s="448"/>
      <c r="O17" s="448"/>
      <c r="P17" s="449"/>
      <c r="Q17" s="314">
        <f>P17-H17*VLOOKUP(C17,Unit_Rates!$C$7:$E$113,3,FALSE)</f>
        <v>0</v>
      </c>
      <c r="R17" s="134">
        <v>0</v>
      </c>
      <c r="S17" s="134">
        <v>0</v>
      </c>
      <c r="T17" s="134">
        <v>0</v>
      </c>
      <c r="U17" s="134">
        <v>0</v>
      </c>
      <c r="V17" s="134">
        <v>0</v>
      </c>
      <c r="W17" s="134">
        <v>0</v>
      </c>
      <c r="X17" s="134">
        <v>0</v>
      </c>
      <c r="Y17" s="304">
        <f t="shared" ref="Y17:Y50" si="4">SUM(R17:X17)</f>
        <v>0</v>
      </c>
      <c r="AA17" s="5"/>
      <c r="AB17" s="5"/>
      <c r="AC17" s="5"/>
      <c r="AD17" s="5"/>
      <c r="AE17" s="5"/>
      <c r="AF17" s="5"/>
      <c r="AG17" s="5"/>
    </row>
    <row r="18" spans="2:38" x14ac:dyDescent="0.25">
      <c r="B18" s="84"/>
      <c r="C18" s="23" t="s">
        <v>354</v>
      </c>
      <c r="D18" s="23" t="str">
        <f>INDEX(Unit_Rates!$C$7:$K$113,MATCH($C18,Unit_Rates!$C$7:$C$113,0),5)</f>
        <v>Subtransmission</v>
      </c>
      <c r="E18" s="23" t="str">
        <f>INDEX(Unit_Rates!$C$7:$K$113,MATCH($C18,Unit_Rates!$C$7:$C$113,0),6)</f>
        <v>Augmentation</v>
      </c>
      <c r="F18" s="23" t="str">
        <f t="shared" ref="F18:F50" si="5">D18&amp;E18</f>
        <v>SubtransmissionAugmentation</v>
      </c>
      <c r="G18" s="170">
        <f>INDEX(Unit_Rates!$C$7:$K$113,MATCH($C18,Unit_Rates!$C$7:$C$113,0),7)</f>
        <v>74.154499800000011</v>
      </c>
      <c r="H18" s="171"/>
      <c r="I18" s="123" t="s">
        <v>294</v>
      </c>
      <c r="J18" s="165"/>
      <c r="K18" s="172">
        <f t="shared" si="2"/>
        <v>0</v>
      </c>
      <c r="L18" s="173">
        <f t="shared" si="3"/>
        <v>0</v>
      </c>
      <c r="M18" s="174"/>
      <c r="N18" s="448"/>
      <c r="O18" s="448"/>
      <c r="P18" s="449"/>
      <c r="Q18" s="314">
        <f>P18-H18*VLOOKUP(C18,Unit_Rates!$C$7:$E$113,3,FALSE)</f>
        <v>0</v>
      </c>
      <c r="R18" s="134">
        <v>0</v>
      </c>
      <c r="S18" s="134">
        <v>0</v>
      </c>
      <c r="T18" s="134">
        <v>0</v>
      </c>
      <c r="U18" s="134">
        <v>0</v>
      </c>
      <c r="V18" s="134">
        <v>0</v>
      </c>
      <c r="W18" s="134">
        <v>0</v>
      </c>
      <c r="X18" s="134">
        <v>0</v>
      </c>
      <c r="Y18" s="304">
        <f t="shared" si="4"/>
        <v>0</v>
      </c>
      <c r="AA18" s="5"/>
      <c r="AB18" s="5"/>
      <c r="AC18" s="5"/>
      <c r="AD18" s="5"/>
      <c r="AE18" s="5"/>
      <c r="AF18" s="5"/>
      <c r="AG18" s="5"/>
    </row>
    <row r="19" spans="2:38" x14ac:dyDescent="0.25">
      <c r="B19" s="84"/>
      <c r="C19" s="23" t="s">
        <v>355</v>
      </c>
      <c r="D19" s="23" t="str">
        <f>INDEX(Unit_Rates!$C$7:$K$113,MATCH($C19,Unit_Rates!$C$7:$C$113,0),5)</f>
        <v>Subtransmission</v>
      </c>
      <c r="E19" s="23" t="str">
        <f>INDEX(Unit_Rates!$C$7:$K$113,MATCH($C19,Unit_Rates!$C$7:$C$113,0),6)</f>
        <v>Augmentation</v>
      </c>
      <c r="F19" s="23" t="str">
        <f t="shared" si="5"/>
        <v>SubtransmissionAugmentation</v>
      </c>
      <c r="G19" s="170">
        <f>INDEX(Unit_Rates!$C$7:$K$113,MATCH($C19,Unit_Rates!$C$7:$C$113,0),7)</f>
        <v>37.493999250000002</v>
      </c>
      <c r="H19" s="171"/>
      <c r="I19" s="123" t="s">
        <v>294</v>
      </c>
      <c r="J19" s="165"/>
      <c r="K19" s="172">
        <f t="shared" si="2"/>
        <v>0</v>
      </c>
      <c r="L19" s="173">
        <f t="shared" si="3"/>
        <v>0</v>
      </c>
      <c r="M19" s="174"/>
      <c r="N19" s="448"/>
      <c r="O19" s="448"/>
      <c r="P19" s="449"/>
      <c r="Q19" s="314">
        <f>P19-H19*VLOOKUP(C19,Unit_Rates!$C$7:$E$113,3,FALSE)</f>
        <v>0</v>
      </c>
      <c r="R19" s="134">
        <v>0</v>
      </c>
      <c r="S19" s="134">
        <v>0</v>
      </c>
      <c r="T19" s="134">
        <v>0</v>
      </c>
      <c r="U19" s="134">
        <v>0</v>
      </c>
      <c r="V19" s="134">
        <v>0</v>
      </c>
      <c r="W19" s="134">
        <v>0</v>
      </c>
      <c r="X19" s="134">
        <v>0</v>
      </c>
      <c r="Y19" s="304">
        <f t="shared" ref="Y19" si="6">SUM(R19:X19)</f>
        <v>0</v>
      </c>
      <c r="AA19" s="5"/>
      <c r="AB19" s="5"/>
      <c r="AC19" s="5"/>
      <c r="AD19" s="5"/>
      <c r="AE19" s="5"/>
      <c r="AF19" s="5"/>
      <c r="AG19" s="5"/>
      <c r="AK19" s="349"/>
      <c r="AL19" s="349"/>
    </row>
    <row r="20" spans="2:38" x14ac:dyDescent="0.25">
      <c r="B20" s="84"/>
      <c r="C20" s="23" t="s">
        <v>340</v>
      </c>
      <c r="D20" s="23" t="str">
        <f>INDEX(Unit_Rates!$C$7:$K$113,MATCH($C20,Unit_Rates!$C$7:$C$113,0),5)</f>
        <v>Subtransmission</v>
      </c>
      <c r="E20" s="23" t="str">
        <f>INDEX(Unit_Rates!$C$7:$K$113,MATCH($C20,Unit_Rates!$C$7:$C$113,0),6)</f>
        <v>Augmentation</v>
      </c>
      <c r="F20" s="23" t="str">
        <f t="shared" si="5"/>
        <v>SubtransmissionAugmentation</v>
      </c>
      <c r="G20" s="170">
        <f>INDEX(Unit_Rates!$C$7:$K$113,MATCH($C20,Unit_Rates!$C$7:$C$113,0),7)</f>
        <v>787.07449999999994</v>
      </c>
      <c r="H20" s="171"/>
      <c r="I20" s="123" t="s">
        <v>294</v>
      </c>
      <c r="J20" s="165"/>
      <c r="K20" s="172">
        <f t="shared" si="2"/>
        <v>0</v>
      </c>
      <c r="L20" s="173">
        <f t="shared" si="3"/>
        <v>0</v>
      </c>
      <c r="M20" s="174"/>
      <c r="N20" s="448"/>
      <c r="O20" s="448"/>
      <c r="P20" s="449"/>
      <c r="Q20" s="314">
        <f>P20-H20*VLOOKUP(C20,Unit_Rates!$C$7:$E$113,3,FALSE)</f>
        <v>0</v>
      </c>
      <c r="R20" s="134">
        <v>0</v>
      </c>
      <c r="S20" s="134">
        <v>0</v>
      </c>
      <c r="T20" s="134">
        <v>0</v>
      </c>
      <c r="U20" s="134">
        <v>0</v>
      </c>
      <c r="V20" s="134">
        <v>0</v>
      </c>
      <c r="W20" s="134">
        <v>0</v>
      </c>
      <c r="X20" s="134">
        <v>0</v>
      </c>
      <c r="Y20" s="304">
        <f t="shared" si="4"/>
        <v>0</v>
      </c>
      <c r="AA20" s="5"/>
      <c r="AB20" s="5"/>
      <c r="AC20" s="5"/>
      <c r="AD20" s="5"/>
      <c r="AE20" s="5"/>
      <c r="AF20" s="5"/>
      <c r="AG20" s="5"/>
      <c r="AK20" s="349"/>
      <c r="AL20" s="349"/>
    </row>
    <row r="21" spans="2:38" x14ac:dyDescent="0.25">
      <c r="B21" s="84"/>
      <c r="C21" s="23" t="s">
        <v>352</v>
      </c>
      <c r="D21" s="23" t="str">
        <f>INDEX(Unit_Rates!$C$7:$K$113,MATCH($C21,Unit_Rates!$C$7:$C$113,0),5)</f>
        <v>Subtransmission</v>
      </c>
      <c r="E21" s="23" t="str">
        <f>INDEX(Unit_Rates!$C$7:$K$113,MATCH($C21,Unit_Rates!$C$7:$C$113,0),6)</f>
        <v>Augmentation</v>
      </c>
      <c r="F21" s="23" t="str">
        <f t="shared" si="5"/>
        <v>SubtransmissionAugmentation</v>
      </c>
      <c r="G21" s="170">
        <f>INDEX(Unit_Rates!$C$7:$K$113,MATCH($C21,Unit_Rates!$C$7:$C$113,0),7)</f>
        <v>41.255909799999998</v>
      </c>
      <c r="H21" s="171"/>
      <c r="I21" s="123" t="s">
        <v>294</v>
      </c>
      <c r="J21" s="165"/>
      <c r="K21" s="172">
        <f t="shared" si="2"/>
        <v>0</v>
      </c>
      <c r="L21" s="173">
        <f t="shared" si="3"/>
        <v>0</v>
      </c>
      <c r="M21" s="174"/>
      <c r="N21" s="448"/>
      <c r="O21" s="448"/>
      <c r="P21" s="449"/>
      <c r="Q21" s="314">
        <f>P21-H21*VLOOKUP(C21,Unit_Rates!$C$7:$E$113,3,FALSE)</f>
        <v>0</v>
      </c>
      <c r="R21" s="134">
        <v>0</v>
      </c>
      <c r="S21" s="134">
        <v>0</v>
      </c>
      <c r="T21" s="134">
        <v>0</v>
      </c>
      <c r="U21" s="134">
        <v>0</v>
      </c>
      <c r="V21" s="134">
        <v>0</v>
      </c>
      <c r="W21" s="134">
        <v>0</v>
      </c>
      <c r="X21" s="134">
        <v>0</v>
      </c>
      <c r="Y21" s="304">
        <f t="shared" si="4"/>
        <v>0</v>
      </c>
      <c r="AA21" s="5"/>
      <c r="AB21" s="5"/>
      <c r="AC21" s="5"/>
      <c r="AD21" s="5"/>
      <c r="AE21" s="5"/>
      <c r="AF21" s="5"/>
      <c r="AG21" s="5"/>
      <c r="AK21" s="349"/>
      <c r="AL21" s="349"/>
    </row>
    <row r="22" spans="2:38" x14ac:dyDescent="0.25">
      <c r="B22" s="84"/>
      <c r="C22" s="23" t="s">
        <v>342</v>
      </c>
      <c r="D22" s="23" t="str">
        <f>INDEX(Unit_Rates!$C$7:$K$113,MATCH($C22,Unit_Rates!$C$7:$C$113,0),5)</f>
        <v>Subtransmission</v>
      </c>
      <c r="E22" s="23" t="str">
        <f>INDEX(Unit_Rates!$C$7:$K$113,MATCH($C22,Unit_Rates!$C$7:$C$113,0),6)</f>
        <v>Augmentation</v>
      </c>
      <c r="F22" s="23" t="str">
        <f t="shared" si="5"/>
        <v>SubtransmissionAugmentation</v>
      </c>
      <c r="G22" s="170">
        <f>INDEX(Unit_Rates!$C$7:$K$113,MATCH($C22,Unit_Rates!$C$7:$C$113,0),7)</f>
        <v>106.81319599999999</v>
      </c>
      <c r="H22" s="171"/>
      <c r="I22" s="123" t="s">
        <v>294</v>
      </c>
      <c r="J22" s="165"/>
      <c r="K22" s="172">
        <f t="shared" si="2"/>
        <v>0</v>
      </c>
      <c r="L22" s="173">
        <f t="shared" si="3"/>
        <v>0</v>
      </c>
      <c r="M22" s="174"/>
      <c r="N22" s="448"/>
      <c r="O22" s="448"/>
      <c r="P22" s="449"/>
      <c r="Q22" s="314">
        <f>P22-H22*VLOOKUP(C22,Unit_Rates!$C$7:$E$113,3,FALSE)</f>
        <v>0</v>
      </c>
      <c r="R22" s="134">
        <v>0</v>
      </c>
      <c r="S22" s="134">
        <v>0</v>
      </c>
      <c r="T22" s="134">
        <v>0</v>
      </c>
      <c r="U22" s="134">
        <v>0</v>
      </c>
      <c r="V22" s="134">
        <v>0</v>
      </c>
      <c r="W22" s="134">
        <v>0</v>
      </c>
      <c r="X22" s="134">
        <v>0</v>
      </c>
      <c r="Y22" s="304">
        <f t="shared" si="4"/>
        <v>0</v>
      </c>
      <c r="AA22" s="5"/>
      <c r="AB22" s="5"/>
      <c r="AC22" s="5"/>
      <c r="AD22" s="5"/>
      <c r="AE22" s="5"/>
      <c r="AF22" s="5"/>
      <c r="AG22" s="5"/>
      <c r="AK22" s="349"/>
      <c r="AL22" s="349"/>
    </row>
    <row r="23" spans="2:38" x14ac:dyDescent="0.25">
      <c r="B23" s="84"/>
      <c r="C23" s="23" t="s">
        <v>357</v>
      </c>
      <c r="D23" s="23" t="str">
        <f>INDEX(Unit_Rates!$C$7:$K$113,MATCH($C23,Unit_Rates!$C$7:$C$113,0),5)</f>
        <v>Subtransmission</v>
      </c>
      <c r="E23" s="23" t="str">
        <f>INDEX(Unit_Rates!$C$7:$K$113,MATCH($C23,Unit_Rates!$C$7:$C$113,0),6)</f>
        <v>Augmentation</v>
      </c>
      <c r="F23" s="23" t="str">
        <f t="shared" si="5"/>
        <v>SubtransmissionAugmentation</v>
      </c>
      <c r="G23" s="170">
        <f>INDEX(Unit_Rates!$C$7:$K$113,MATCH($C23,Unit_Rates!$C$7:$C$113,0),7)</f>
        <v>58.265687</v>
      </c>
      <c r="H23" s="171"/>
      <c r="I23" s="123" t="s">
        <v>294</v>
      </c>
      <c r="J23" s="165"/>
      <c r="K23" s="172">
        <f t="shared" si="2"/>
        <v>0</v>
      </c>
      <c r="L23" s="173">
        <f t="shared" si="3"/>
        <v>0</v>
      </c>
      <c r="M23" s="174"/>
      <c r="N23" s="448"/>
      <c r="O23" s="448"/>
      <c r="P23" s="449"/>
      <c r="Q23" s="314">
        <f>P23-H23*VLOOKUP(C23,Unit_Rates!$C$7:$E$113,3,FALSE)</f>
        <v>0</v>
      </c>
      <c r="R23" s="134">
        <v>0</v>
      </c>
      <c r="S23" s="134">
        <v>0</v>
      </c>
      <c r="T23" s="134">
        <v>0</v>
      </c>
      <c r="U23" s="134">
        <v>0</v>
      </c>
      <c r="V23" s="134">
        <v>0</v>
      </c>
      <c r="W23" s="134">
        <v>0</v>
      </c>
      <c r="X23" s="134">
        <v>0</v>
      </c>
      <c r="Y23" s="304">
        <f t="shared" si="4"/>
        <v>0</v>
      </c>
      <c r="AK23" s="349"/>
      <c r="AL23" s="349"/>
    </row>
    <row r="24" spans="2:38" x14ac:dyDescent="0.25">
      <c r="B24" s="84"/>
      <c r="C24" s="23" t="s">
        <v>416</v>
      </c>
      <c r="D24" s="23" t="str">
        <f>INDEX(Unit_Rates!$C$7:$K$113,MATCH($C24,Unit_Rates!$C$7:$C$113,0),5)</f>
        <v>Subtransmission</v>
      </c>
      <c r="E24" s="23" t="str">
        <f>INDEX(Unit_Rates!$C$7:$K$113,MATCH($C24,Unit_Rates!$C$7:$C$113,0),6)</f>
        <v>Augmentation</v>
      </c>
      <c r="F24" s="23" t="str">
        <f t="shared" ref="F24" si="7">D24&amp;E24</f>
        <v>SubtransmissionAugmentation</v>
      </c>
      <c r="G24" s="170">
        <f>INDEX(Unit_Rates!$C$7:$K$113,MATCH($C24,Unit_Rates!$C$7:$C$113,0),7)</f>
        <v>169.007993</v>
      </c>
      <c r="H24" s="171">
        <v>2</v>
      </c>
      <c r="I24" s="123" t="s">
        <v>294</v>
      </c>
      <c r="J24" s="165"/>
      <c r="K24" s="172">
        <f t="shared" ref="K24" si="8">G24*$H24</f>
        <v>338.015986</v>
      </c>
      <c r="L24" s="173">
        <f t="shared" ref="L24" si="9">SUMPRODUCT(R$5:X$5,R24:X24)/Thousands</f>
        <v>0</v>
      </c>
      <c r="M24" s="174"/>
      <c r="N24" s="448"/>
      <c r="O24" s="448"/>
      <c r="P24" s="449"/>
      <c r="Q24" s="314">
        <f>P24-H24*VLOOKUP(C24,Unit_Rates!$C$7:$E$113,3,FALSE)</f>
        <v>0</v>
      </c>
      <c r="R24" s="134">
        <v>0</v>
      </c>
      <c r="S24" s="134">
        <v>0</v>
      </c>
      <c r="T24" s="134">
        <v>0</v>
      </c>
      <c r="U24" s="134">
        <v>0</v>
      </c>
      <c r="V24" s="134">
        <v>0</v>
      </c>
      <c r="W24" s="134">
        <v>0</v>
      </c>
      <c r="X24" s="134">
        <v>0</v>
      </c>
      <c r="Y24" s="304">
        <f t="shared" ref="Y24" si="10">SUM(R24:X24)</f>
        <v>0</v>
      </c>
      <c r="AK24" s="349"/>
      <c r="AL24" s="349"/>
    </row>
    <row r="25" spans="2:38" x14ac:dyDescent="0.25">
      <c r="B25" s="84"/>
      <c r="C25" s="23" t="s">
        <v>122</v>
      </c>
      <c r="D25" s="23" t="str">
        <f>INDEX(Unit_Rates!$C$7:$K$113,MATCH($C25,Unit_Rates!$C$7:$C$113,0),5)</f>
        <v>Subtransmission</v>
      </c>
      <c r="E25" s="23" t="str">
        <f>INDEX(Unit_Rates!$C$7:$K$113,MATCH($C25,Unit_Rates!$C$7:$C$113,0),6)</f>
        <v>Augmentation</v>
      </c>
      <c r="F25" s="23" t="str">
        <f t="shared" si="5"/>
        <v>SubtransmissionAugmentation</v>
      </c>
      <c r="G25" s="170">
        <f>INDEX(Unit_Rates!$C$7:$K$113,MATCH($C25,Unit_Rates!$C$7:$C$113,0),7)</f>
        <v>72.618999999999986</v>
      </c>
      <c r="H25" s="171"/>
      <c r="I25" s="175" t="s">
        <v>294</v>
      </c>
      <c r="J25" s="176"/>
      <c r="K25" s="177">
        <f t="shared" si="2"/>
        <v>0</v>
      </c>
      <c r="L25" s="177">
        <f t="shared" si="3"/>
        <v>0</v>
      </c>
      <c r="M25" s="178"/>
      <c r="N25" s="448"/>
      <c r="O25" s="448"/>
      <c r="P25" s="450"/>
      <c r="Q25" s="314">
        <f>P25-H25*VLOOKUP(C25,Unit_Rates!$C$7:$E$113,3,FALSE)</f>
        <v>0</v>
      </c>
      <c r="R25" s="134">
        <v>0</v>
      </c>
      <c r="S25" s="134">
        <v>0</v>
      </c>
      <c r="T25" s="134">
        <v>0</v>
      </c>
      <c r="U25" s="134">
        <v>0</v>
      </c>
      <c r="V25" s="134">
        <v>0</v>
      </c>
      <c r="W25" s="134">
        <v>0</v>
      </c>
      <c r="X25" s="134">
        <v>0</v>
      </c>
      <c r="Y25" s="304">
        <f t="shared" si="4"/>
        <v>0</v>
      </c>
      <c r="AA25" s="5"/>
      <c r="AB25" s="5"/>
      <c r="AC25" s="5"/>
      <c r="AD25" s="5"/>
      <c r="AE25" s="5"/>
      <c r="AF25" s="5"/>
      <c r="AG25" s="5"/>
      <c r="AK25" s="349"/>
      <c r="AL25" s="349"/>
    </row>
    <row r="26" spans="2:38" x14ac:dyDescent="0.25">
      <c r="B26" s="84"/>
      <c r="C26" s="23" t="s">
        <v>128</v>
      </c>
      <c r="D26" s="23" t="str">
        <f>INDEX(Unit_Rates!$C$7:$K$113,MATCH($C26,Unit_Rates!$C$7:$C$113,0),5)</f>
        <v>Subtransmission</v>
      </c>
      <c r="E26" s="23" t="str">
        <f>INDEX(Unit_Rates!$C$7:$K$113,MATCH($C26,Unit_Rates!$C$7:$C$113,0),6)</f>
        <v>Augmentation</v>
      </c>
      <c r="F26" s="23" t="str">
        <f t="shared" si="5"/>
        <v>SubtransmissionAugmentation</v>
      </c>
      <c r="G26" s="170">
        <f>INDEX(Unit_Rates!$C$7:$K$113,MATCH($C26,Unit_Rates!$C$7:$C$113,0),7)</f>
        <v>39.294999999999995</v>
      </c>
      <c r="H26" s="171"/>
      <c r="I26" s="123" t="s">
        <v>294</v>
      </c>
      <c r="J26" s="165"/>
      <c r="K26" s="172">
        <f>G26*H26</f>
        <v>0</v>
      </c>
      <c r="L26" s="173">
        <f t="shared" si="3"/>
        <v>0</v>
      </c>
      <c r="M26" s="174"/>
      <c r="N26" s="448"/>
      <c r="O26" s="448"/>
      <c r="P26" s="449"/>
      <c r="Q26" s="314">
        <f>P26-H26*VLOOKUP(C26,Unit_Rates!$C$7:$E$113,3,FALSE)</f>
        <v>0</v>
      </c>
      <c r="R26" s="134">
        <v>0</v>
      </c>
      <c r="S26" s="134">
        <v>0</v>
      </c>
      <c r="T26" s="134">
        <v>0</v>
      </c>
      <c r="U26" s="134">
        <v>0</v>
      </c>
      <c r="V26" s="134">
        <v>0</v>
      </c>
      <c r="W26" s="134">
        <v>0</v>
      </c>
      <c r="X26" s="134">
        <v>0</v>
      </c>
      <c r="Y26" s="304">
        <f t="shared" si="4"/>
        <v>0</v>
      </c>
      <c r="AA26" s="5"/>
      <c r="AB26" s="5"/>
      <c r="AC26" s="5"/>
      <c r="AD26" s="5"/>
      <c r="AE26" s="5"/>
      <c r="AF26" s="5"/>
      <c r="AG26" s="5"/>
      <c r="AK26" s="349"/>
      <c r="AL26" s="349"/>
    </row>
    <row r="27" spans="2:38" x14ac:dyDescent="0.25">
      <c r="B27" s="84"/>
      <c r="C27" s="23" t="s">
        <v>132</v>
      </c>
      <c r="D27" s="23" t="str">
        <f>INDEX(Unit_Rates!$C$7:$K$113,MATCH($C27,Unit_Rates!$C$7:$C$113,0),5)</f>
        <v>Subtransmission</v>
      </c>
      <c r="E27" s="23" t="str">
        <f>INDEX(Unit_Rates!$C$7:$K$113,MATCH($C27,Unit_Rates!$C$7:$C$113,0),6)</f>
        <v>Augmentation</v>
      </c>
      <c r="F27" s="23" t="str">
        <f t="shared" si="5"/>
        <v>SubtransmissionAugmentation</v>
      </c>
      <c r="G27" s="170">
        <f>INDEX(Unit_Rates!$C$7:$K$113,MATCH($C27,Unit_Rates!$C$7:$C$113,0),7)</f>
        <v>0</v>
      </c>
      <c r="H27" s="171"/>
      <c r="I27" s="123" t="s">
        <v>294</v>
      </c>
      <c r="J27" s="165"/>
      <c r="K27" s="172">
        <f>G27*H27</f>
        <v>0</v>
      </c>
      <c r="L27" s="173">
        <f t="shared" si="3"/>
        <v>0</v>
      </c>
      <c r="M27" s="174"/>
      <c r="N27" s="448"/>
      <c r="O27" s="448"/>
      <c r="P27" s="449"/>
      <c r="Q27" s="314">
        <f>P27-H27*VLOOKUP(C27,Unit_Rates!$C$7:$E$113,3,FALSE)</f>
        <v>0</v>
      </c>
      <c r="R27" s="134">
        <v>0</v>
      </c>
      <c r="S27" s="134">
        <v>0</v>
      </c>
      <c r="T27" s="134">
        <v>0</v>
      </c>
      <c r="U27" s="134">
        <v>0</v>
      </c>
      <c r="V27" s="134">
        <v>0</v>
      </c>
      <c r="W27" s="134">
        <v>0</v>
      </c>
      <c r="X27" s="134">
        <v>0</v>
      </c>
      <c r="Y27" s="304">
        <f t="shared" si="4"/>
        <v>0</v>
      </c>
      <c r="AA27" s="5"/>
      <c r="AB27" s="5"/>
      <c r="AC27" s="5"/>
      <c r="AD27" s="5"/>
      <c r="AE27" s="5"/>
      <c r="AF27" s="5"/>
      <c r="AG27" s="5"/>
      <c r="AK27" s="349"/>
      <c r="AL27" s="349"/>
    </row>
    <row r="28" spans="2:38" x14ac:dyDescent="0.25">
      <c r="B28" s="84"/>
      <c r="C28" s="23" t="s">
        <v>133</v>
      </c>
      <c r="D28" s="23" t="str">
        <f>INDEX(Unit_Rates!$C$7:$K$113,MATCH($C28,Unit_Rates!$C$7:$C$113,0),5)</f>
        <v>SCADA/Network control</v>
      </c>
      <c r="E28" s="23" t="str">
        <f>INDEX(Unit_Rates!$C$7:$K$113,MATCH($C28,Unit_Rates!$C$7:$C$113,0),6)</f>
        <v>Augmentation</v>
      </c>
      <c r="F28" s="23" t="str">
        <f t="shared" si="5"/>
        <v>SCADA/Network controlAugmentation</v>
      </c>
      <c r="G28" s="170">
        <f>INDEX(Unit_Rates!$C$7:$K$113,MATCH($C28,Unit_Rates!$C$7:$C$113,0),7)</f>
        <v>1158.2999999999995</v>
      </c>
      <c r="H28" s="171">
        <v>1</v>
      </c>
      <c r="I28" s="123" t="s">
        <v>294</v>
      </c>
      <c r="J28" s="165"/>
      <c r="K28" s="172">
        <f>G28*H28</f>
        <v>1158.2999999999995</v>
      </c>
      <c r="L28" s="173">
        <f t="shared" si="3"/>
        <v>0</v>
      </c>
      <c r="M28" s="174"/>
      <c r="N28" s="448"/>
      <c r="O28" s="448"/>
      <c r="P28" s="449"/>
      <c r="Q28" s="314">
        <f>P28-H28*VLOOKUP(C28,Unit_Rates!$C$7:$E$113,3,FALSE)</f>
        <v>0</v>
      </c>
      <c r="R28" s="134">
        <v>0</v>
      </c>
      <c r="S28" s="134">
        <v>0</v>
      </c>
      <c r="T28" s="134">
        <v>0</v>
      </c>
      <c r="U28" s="134">
        <v>0</v>
      </c>
      <c r="V28" s="134">
        <v>0</v>
      </c>
      <c r="W28" s="134">
        <v>0</v>
      </c>
      <c r="X28" s="134">
        <v>0</v>
      </c>
      <c r="Y28" s="304">
        <f t="shared" si="4"/>
        <v>0</v>
      </c>
      <c r="AA28" s="5"/>
      <c r="AB28" s="5"/>
      <c r="AC28" s="5"/>
      <c r="AD28" s="5"/>
      <c r="AE28" s="5"/>
      <c r="AF28" s="5"/>
      <c r="AG28" s="5"/>
      <c r="AK28" s="349"/>
      <c r="AL28" s="349"/>
    </row>
    <row r="29" spans="2:38" x14ac:dyDescent="0.25">
      <c r="B29" s="84"/>
      <c r="C29" s="23" t="s">
        <v>135</v>
      </c>
      <c r="D29" s="23" t="str">
        <f>INDEX(Unit_Rates!$C$7:$K$113,MATCH($C29,Unit_Rates!$C$7:$C$113,0),5)</f>
        <v>Subtransmission</v>
      </c>
      <c r="E29" s="23" t="str">
        <f>INDEX(Unit_Rates!$C$7:$K$113,MATCH($C29,Unit_Rates!$C$7:$C$113,0),6)</f>
        <v>Augmentation</v>
      </c>
      <c r="F29" s="23" t="str">
        <f t="shared" si="5"/>
        <v>SubtransmissionAugmentation</v>
      </c>
      <c r="G29" s="170">
        <f>INDEX(Unit_Rates!$C$7:$K$113,MATCH($C29,Unit_Rates!$C$7:$C$113,0),7)</f>
        <v>0</v>
      </c>
      <c r="H29" s="171">
        <v>1</v>
      </c>
      <c r="I29" s="123" t="s">
        <v>294</v>
      </c>
      <c r="J29" s="165"/>
      <c r="K29" s="172">
        <f>G29*H29</f>
        <v>0</v>
      </c>
      <c r="L29" s="173">
        <f t="shared" si="3"/>
        <v>0</v>
      </c>
      <c r="M29" s="174"/>
      <c r="N29" s="448"/>
      <c r="O29" s="448"/>
      <c r="P29" s="449"/>
      <c r="Q29" s="314">
        <f>P29-H29*VLOOKUP(C29,Unit_Rates!$C$7:$E$113,3,FALSE)</f>
        <v>0</v>
      </c>
      <c r="R29" s="134">
        <v>0</v>
      </c>
      <c r="S29" s="134">
        <v>0</v>
      </c>
      <c r="T29" s="134">
        <v>0</v>
      </c>
      <c r="U29" s="134">
        <v>0</v>
      </c>
      <c r="V29" s="134">
        <v>0</v>
      </c>
      <c r="W29" s="134">
        <v>0</v>
      </c>
      <c r="X29" s="134">
        <v>0</v>
      </c>
      <c r="Y29" s="304">
        <f t="shared" si="4"/>
        <v>0</v>
      </c>
      <c r="AK29" s="349"/>
      <c r="AL29" s="349"/>
    </row>
    <row r="30" spans="2:38" x14ac:dyDescent="0.25">
      <c r="B30" s="84"/>
      <c r="C30" s="23" t="s">
        <v>137</v>
      </c>
      <c r="D30" s="23" t="str">
        <f>INDEX(Unit_Rates!$C$7:$K$113,MATCH($C30,Unit_Rates!$C$7:$C$113,0),5)</f>
        <v>Subtransmission</v>
      </c>
      <c r="E30" s="23" t="str">
        <f>INDEX(Unit_Rates!$C$7:$K$113,MATCH($C30,Unit_Rates!$C$7:$C$113,0),6)</f>
        <v>Augmentation</v>
      </c>
      <c r="F30" s="23" t="str">
        <f t="shared" si="5"/>
        <v>SubtransmissionAugmentation</v>
      </c>
      <c r="G30" s="170">
        <f>INDEX(Unit_Rates!$C$7:$K$113,MATCH($C30,Unit_Rates!$C$7:$C$113,0),7)</f>
        <v>1353.9999999999995</v>
      </c>
      <c r="H30" s="171">
        <v>1</v>
      </c>
      <c r="I30" s="123" t="s">
        <v>294</v>
      </c>
      <c r="J30" s="165"/>
      <c r="K30" s="172">
        <f t="shared" ref="K30:K49" si="11">G30*H30</f>
        <v>1353.9999999999995</v>
      </c>
      <c r="L30" s="173">
        <f t="shared" si="3"/>
        <v>0</v>
      </c>
      <c r="M30" s="174"/>
      <c r="N30" s="448"/>
      <c r="O30" s="448"/>
      <c r="P30" s="449"/>
      <c r="Q30" s="314">
        <f>P30-H30*VLOOKUP(C30,Unit_Rates!$C$7:$E$113,3,FALSE)</f>
        <v>0</v>
      </c>
      <c r="R30" s="134">
        <v>0</v>
      </c>
      <c r="S30" s="134">
        <v>0</v>
      </c>
      <c r="T30" s="134">
        <v>0</v>
      </c>
      <c r="U30" s="134">
        <v>0</v>
      </c>
      <c r="V30" s="134">
        <v>0</v>
      </c>
      <c r="W30" s="134">
        <v>0</v>
      </c>
      <c r="X30" s="134">
        <v>0</v>
      </c>
      <c r="Y30" s="304">
        <f t="shared" si="4"/>
        <v>0</v>
      </c>
      <c r="AK30" s="349"/>
      <c r="AL30" s="349"/>
    </row>
    <row r="31" spans="2:38" x14ac:dyDescent="0.25">
      <c r="B31" s="84"/>
      <c r="C31" s="23" t="s">
        <v>139</v>
      </c>
      <c r="D31" s="23" t="str">
        <f>INDEX(Unit_Rates!$C$7:$K$113,MATCH($C31,Unit_Rates!$C$7:$C$113,0),5)</f>
        <v>Subtransmission</v>
      </c>
      <c r="E31" s="23" t="str">
        <f>INDEX(Unit_Rates!$C$7:$K$113,MATCH($C31,Unit_Rates!$C$7:$C$113,0),6)</f>
        <v>Augmentation</v>
      </c>
      <c r="F31" s="23" t="str">
        <f t="shared" si="5"/>
        <v>SubtransmissionAugmentation</v>
      </c>
      <c r="G31" s="170">
        <f>INDEX(Unit_Rates!$C$7:$K$113,MATCH($C31,Unit_Rates!$C$7:$C$113,0),7)</f>
        <v>1461.1162790697672</v>
      </c>
      <c r="H31" s="171"/>
      <c r="I31" s="123" t="s">
        <v>294</v>
      </c>
      <c r="J31" s="165"/>
      <c r="K31" s="172">
        <f t="shared" si="11"/>
        <v>0</v>
      </c>
      <c r="L31" s="173">
        <f t="shared" si="3"/>
        <v>0</v>
      </c>
      <c r="M31" s="174"/>
      <c r="N31" s="448"/>
      <c r="O31" s="448"/>
      <c r="P31" s="449"/>
      <c r="Q31" s="314">
        <f>P31-H31*VLOOKUP(C31,Unit_Rates!$C$7:$E$113,3,FALSE)</f>
        <v>0</v>
      </c>
      <c r="R31" s="134">
        <v>0</v>
      </c>
      <c r="S31" s="134">
        <v>0</v>
      </c>
      <c r="T31" s="134">
        <v>0</v>
      </c>
      <c r="U31" s="134">
        <v>0</v>
      </c>
      <c r="V31" s="134">
        <v>0</v>
      </c>
      <c r="W31" s="134">
        <v>0</v>
      </c>
      <c r="X31" s="134">
        <v>0</v>
      </c>
      <c r="Y31" s="304">
        <f t="shared" si="4"/>
        <v>0</v>
      </c>
      <c r="AK31" s="349"/>
      <c r="AL31" s="349"/>
    </row>
    <row r="32" spans="2:38" x14ac:dyDescent="0.25">
      <c r="B32" s="84"/>
      <c r="C32" s="23" t="s">
        <v>141</v>
      </c>
      <c r="D32" s="23" t="str">
        <f>INDEX(Unit_Rates!$C$7:$K$113,MATCH($C32,Unit_Rates!$C$7:$C$113,0),5)</f>
        <v>Subtransmission</v>
      </c>
      <c r="E32" s="23" t="str">
        <f>INDEX(Unit_Rates!$C$7:$K$113,MATCH($C32,Unit_Rates!$C$7:$C$113,0),6)</f>
        <v>Augmentation</v>
      </c>
      <c r="F32" s="23" t="str">
        <f t="shared" si="5"/>
        <v>SubtransmissionAugmentation</v>
      </c>
      <c r="G32" s="170">
        <f>INDEX(Unit_Rates!$C$7:$K$113,MATCH($C32,Unit_Rates!$C$7:$C$113,0),7)</f>
        <v>699.99999999999989</v>
      </c>
      <c r="H32" s="171"/>
      <c r="I32" s="123" t="s">
        <v>294</v>
      </c>
      <c r="J32" s="165"/>
      <c r="K32" s="172">
        <f t="shared" si="11"/>
        <v>0</v>
      </c>
      <c r="L32" s="173">
        <f t="shared" si="3"/>
        <v>0</v>
      </c>
      <c r="M32" s="174"/>
      <c r="N32" s="448"/>
      <c r="O32" s="448"/>
      <c r="P32" s="449"/>
      <c r="Q32" s="314">
        <f>P32-H32*VLOOKUP(C32,Unit_Rates!$C$7:$E$113,3,FALSE)</f>
        <v>0</v>
      </c>
      <c r="R32" s="134">
        <v>0</v>
      </c>
      <c r="S32" s="134">
        <v>0</v>
      </c>
      <c r="T32" s="134">
        <v>0</v>
      </c>
      <c r="U32" s="134">
        <v>0</v>
      </c>
      <c r="V32" s="134">
        <v>0</v>
      </c>
      <c r="W32" s="134">
        <v>0</v>
      </c>
      <c r="X32" s="134">
        <v>0</v>
      </c>
      <c r="Y32" s="304">
        <f t="shared" si="4"/>
        <v>0</v>
      </c>
      <c r="AK32" s="349"/>
      <c r="AL32" s="349"/>
    </row>
    <row r="33" spans="2:38" x14ac:dyDescent="0.25">
      <c r="B33" s="84"/>
      <c r="C33" s="23" t="s">
        <v>147</v>
      </c>
      <c r="D33" s="23" t="str">
        <f>INDEX(Unit_Rates!$C$7:$K$113,MATCH($C33,Unit_Rates!$C$7:$C$113,0),5)</f>
        <v>Subtransmission</v>
      </c>
      <c r="E33" s="23" t="str">
        <f>INDEX(Unit_Rates!$C$7:$K$113,MATCH($C33,Unit_Rates!$C$7:$C$113,0),6)</f>
        <v>Augmentation</v>
      </c>
      <c r="F33" s="23" t="str">
        <f t="shared" si="5"/>
        <v>SubtransmissionAugmentation</v>
      </c>
      <c r="G33" s="170">
        <f>INDEX(Unit_Rates!$C$7:$K$113,MATCH($C33,Unit_Rates!$C$7:$C$113,0),7)</f>
        <v>91.292437209302321</v>
      </c>
      <c r="H33" s="171"/>
      <c r="I33" s="123" t="s">
        <v>294</v>
      </c>
      <c r="J33" s="165"/>
      <c r="K33" s="172">
        <f t="shared" si="11"/>
        <v>0</v>
      </c>
      <c r="L33" s="173">
        <f t="shared" si="3"/>
        <v>0</v>
      </c>
      <c r="M33" s="174"/>
      <c r="N33" s="448"/>
      <c r="O33" s="448"/>
      <c r="P33" s="449"/>
      <c r="Q33" s="314">
        <f>P33-H33*VLOOKUP(C33,Unit_Rates!$C$7:$E$113,3,FALSE)</f>
        <v>0</v>
      </c>
      <c r="R33" s="134">
        <v>0</v>
      </c>
      <c r="S33" s="134">
        <v>0</v>
      </c>
      <c r="T33" s="134">
        <v>0</v>
      </c>
      <c r="U33" s="134">
        <v>0</v>
      </c>
      <c r="V33" s="134">
        <v>0</v>
      </c>
      <c r="W33" s="134">
        <v>0</v>
      </c>
      <c r="X33" s="134">
        <v>0</v>
      </c>
      <c r="Y33" s="304">
        <f t="shared" si="4"/>
        <v>0</v>
      </c>
      <c r="AK33" s="349"/>
      <c r="AL33" s="349"/>
    </row>
    <row r="34" spans="2:38" x14ac:dyDescent="0.25">
      <c r="B34" s="84"/>
      <c r="C34" s="23" t="s">
        <v>149</v>
      </c>
      <c r="D34" s="23" t="str">
        <f>INDEX(Unit_Rates!$C$7:$K$113,MATCH($C34,Unit_Rates!$C$7:$C$113,0),5)</f>
        <v>Subtransmission</v>
      </c>
      <c r="E34" s="23" t="str">
        <f>INDEX(Unit_Rates!$C$7:$K$113,MATCH($C34,Unit_Rates!$C$7:$C$113,0),6)</f>
        <v>Augmentation</v>
      </c>
      <c r="F34" s="23" t="str">
        <f t="shared" si="5"/>
        <v>SubtransmissionAugmentation</v>
      </c>
      <c r="G34" s="170">
        <f>INDEX(Unit_Rates!$C$7:$K$113,MATCH($C34,Unit_Rates!$C$7:$C$113,0),7)</f>
        <v>0</v>
      </c>
      <c r="H34" s="171">
        <v>1</v>
      </c>
      <c r="I34" s="123" t="s">
        <v>294</v>
      </c>
      <c r="J34" s="165"/>
      <c r="K34" s="172">
        <f t="shared" si="11"/>
        <v>0</v>
      </c>
      <c r="L34" s="173">
        <f t="shared" si="3"/>
        <v>0</v>
      </c>
      <c r="M34" s="174"/>
      <c r="N34" s="448"/>
      <c r="O34" s="448"/>
      <c r="P34" s="449"/>
      <c r="Q34" s="314">
        <f>P34-H34*VLOOKUP(C34,Unit_Rates!$C$7:$E$113,3,FALSE)</f>
        <v>0</v>
      </c>
      <c r="R34" s="134">
        <v>0</v>
      </c>
      <c r="S34" s="134">
        <v>0</v>
      </c>
      <c r="T34" s="134">
        <v>0</v>
      </c>
      <c r="U34" s="134">
        <v>0</v>
      </c>
      <c r="V34" s="134">
        <v>0</v>
      </c>
      <c r="W34" s="134">
        <v>0</v>
      </c>
      <c r="X34" s="134">
        <v>0</v>
      </c>
      <c r="Y34" s="304">
        <f t="shared" si="4"/>
        <v>0</v>
      </c>
      <c r="AK34" s="349"/>
      <c r="AL34" s="349"/>
    </row>
    <row r="35" spans="2:38" x14ac:dyDescent="0.25">
      <c r="B35" s="84"/>
      <c r="C35" s="23" t="s">
        <v>150</v>
      </c>
      <c r="D35" s="23" t="str">
        <f>INDEX(Unit_Rates!$C$7:$K$113,MATCH($C35,Unit_Rates!$C$7:$C$113,0),5)</f>
        <v>Subtransmission</v>
      </c>
      <c r="E35" s="23" t="str">
        <f>INDEX(Unit_Rates!$C$7:$K$113,MATCH($C35,Unit_Rates!$C$7:$C$113,0),6)</f>
        <v>Augmentation</v>
      </c>
      <c r="F35" s="23" t="str">
        <f t="shared" si="5"/>
        <v>SubtransmissionAugmentation</v>
      </c>
      <c r="G35" s="170">
        <f>INDEX(Unit_Rates!$C$7:$K$113,MATCH($C35,Unit_Rates!$C$7:$C$113,0),7)</f>
        <v>107.00599999999997</v>
      </c>
      <c r="H35" s="171"/>
      <c r="I35" s="123" t="s">
        <v>294</v>
      </c>
      <c r="J35" s="165"/>
      <c r="K35" s="172">
        <f t="shared" si="11"/>
        <v>0</v>
      </c>
      <c r="L35" s="173">
        <f t="shared" si="3"/>
        <v>0</v>
      </c>
      <c r="M35" s="174"/>
      <c r="N35" s="448"/>
      <c r="O35" s="448"/>
      <c r="P35" s="449"/>
      <c r="Q35" s="314">
        <f>P35-H35*VLOOKUP(C35,Unit_Rates!$C$7:$E$113,3,FALSE)</f>
        <v>0</v>
      </c>
      <c r="R35" s="134">
        <v>0</v>
      </c>
      <c r="S35" s="134">
        <v>0</v>
      </c>
      <c r="T35" s="134">
        <v>0</v>
      </c>
      <c r="U35" s="134">
        <v>0</v>
      </c>
      <c r="V35" s="134">
        <v>0</v>
      </c>
      <c r="W35" s="134">
        <v>0</v>
      </c>
      <c r="X35" s="134">
        <v>0</v>
      </c>
      <c r="Y35" s="304">
        <f t="shared" si="4"/>
        <v>0</v>
      </c>
      <c r="AK35" s="349"/>
      <c r="AL35" s="349"/>
    </row>
    <row r="36" spans="2:38" x14ac:dyDescent="0.25">
      <c r="B36" s="84"/>
      <c r="C36" s="23" t="s">
        <v>152</v>
      </c>
      <c r="D36" s="23" t="str">
        <f>INDEX(Unit_Rates!$C$7:$K$113,MATCH($C36,Unit_Rates!$C$7:$C$113,0),5)</f>
        <v>Subtransmission</v>
      </c>
      <c r="E36" s="23" t="str">
        <f>INDEX(Unit_Rates!$C$7:$K$113,MATCH($C36,Unit_Rates!$C$7:$C$113,0),6)</f>
        <v>Augmentation</v>
      </c>
      <c r="F36" s="23" t="str">
        <f t="shared" si="5"/>
        <v>SubtransmissionAugmentation</v>
      </c>
      <c r="G36" s="170">
        <f>INDEX(Unit_Rates!$C$7:$K$113,MATCH($C36,Unit_Rates!$C$7:$C$113,0),7)</f>
        <v>7.6639999999999979</v>
      </c>
      <c r="H36" s="171">
        <v>2</v>
      </c>
      <c r="I36" s="123" t="s">
        <v>294</v>
      </c>
      <c r="J36" s="165"/>
      <c r="K36" s="172">
        <f t="shared" si="11"/>
        <v>15.327999999999996</v>
      </c>
      <c r="L36" s="173">
        <f t="shared" si="3"/>
        <v>0</v>
      </c>
      <c r="M36" s="174"/>
      <c r="N36" s="448"/>
      <c r="O36" s="448"/>
      <c r="P36" s="449"/>
      <c r="Q36" s="314">
        <f>P36-H36*VLOOKUP(C36,Unit_Rates!$C$7:$E$113,3,FALSE)</f>
        <v>0</v>
      </c>
      <c r="R36" s="134">
        <v>0</v>
      </c>
      <c r="S36" s="134">
        <v>0</v>
      </c>
      <c r="T36" s="134">
        <v>0</v>
      </c>
      <c r="U36" s="134">
        <v>0</v>
      </c>
      <c r="V36" s="134">
        <v>0</v>
      </c>
      <c r="W36" s="134">
        <v>0</v>
      </c>
      <c r="X36" s="134">
        <v>0</v>
      </c>
      <c r="Y36" s="304">
        <f t="shared" si="4"/>
        <v>0</v>
      </c>
      <c r="AK36" s="349"/>
      <c r="AL36" s="349"/>
    </row>
    <row r="37" spans="2:38" x14ac:dyDescent="0.25">
      <c r="B37" s="84"/>
      <c r="C37" s="23" t="s">
        <v>156</v>
      </c>
      <c r="D37" s="23" t="str">
        <f>INDEX(Unit_Rates!$C$7:$K$113,MATCH($C37,Unit_Rates!$C$7:$C$113,0),5)</f>
        <v>Subtransmission</v>
      </c>
      <c r="E37" s="23" t="str">
        <f>INDEX(Unit_Rates!$C$7:$K$113,MATCH($C37,Unit_Rates!$C$7:$C$113,0),6)</f>
        <v>Augmentation</v>
      </c>
      <c r="F37" s="23" t="str">
        <f t="shared" si="5"/>
        <v>SubtransmissionAugmentation</v>
      </c>
      <c r="G37" s="170">
        <f>INDEX(Unit_Rates!$C$7:$K$113,MATCH($C37,Unit_Rates!$C$7:$C$113,0),7)</f>
        <v>27.162999999999993</v>
      </c>
      <c r="H37" s="171"/>
      <c r="I37" s="123" t="s">
        <v>294</v>
      </c>
      <c r="J37" s="165"/>
      <c r="K37" s="172">
        <f t="shared" si="11"/>
        <v>0</v>
      </c>
      <c r="L37" s="173">
        <f t="shared" si="3"/>
        <v>0</v>
      </c>
      <c r="M37" s="174"/>
      <c r="N37" s="448"/>
      <c r="O37" s="448"/>
      <c r="P37" s="449"/>
      <c r="Q37" s="314">
        <f>P37-H37*VLOOKUP(C37,Unit_Rates!$C$7:$E$113,3,FALSE)</f>
        <v>0</v>
      </c>
      <c r="R37" s="134">
        <v>0</v>
      </c>
      <c r="S37" s="134">
        <v>0</v>
      </c>
      <c r="T37" s="134">
        <v>0</v>
      </c>
      <c r="U37" s="134">
        <v>0</v>
      </c>
      <c r="V37" s="134">
        <v>0</v>
      </c>
      <c r="W37" s="134">
        <v>0</v>
      </c>
      <c r="X37" s="134">
        <v>0</v>
      </c>
      <c r="Y37" s="304">
        <f t="shared" si="4"/>
        <v>0</v>
      </c>
      <c r="AK37" s="349"/>
      <c r="AL37" s="349"/>
    </row>
    <row r="38" spans="2:38" x14ac:dyDescent="0.25">
      <c r="B38" s="84"/>
      <c r="C38" s="23" t="s">
        <v>157</v>
      </c>
      <c r="D38" s="23" t="str">
        <f>INDEX(Unit_Rates!$C$7:$K$113,MATCH($C38,Unit_Rates!$C$7:$C$113,0),5)</f>
        <v>Subtransmission</v>
      </c>
      <c r="E38" s="23" t="str">
        <f>INDEX(Unit_Rates!$C$7:$K$113,MATCH($C38,Unit_Rates!$C$7:$C$113,0),6)</f>
        <v>Augmentation</v>
      </c>
      <c r="F38" s="23" t="str">
        <f t="shared" si="5"/>
        <v>SubtransmissionAugmentation</v>
      </c>
      <c r="G38" s="170">
        <f>INDEX(Unit_Rates!$C$7:$K$113,MATCH($C38,Unit_Rates!$C$7:$C$113,0),7)</f>
        <v>0</v>
      </c>
      <c r="H38" s="171"/>
      <c r="I38" s="123" t="s">
        <v>294</v>
      </c>
      <c r="J38" s="165"/>
      <c r="K38" s="172">
        <f t="shared" si="11"/>
        <v>0</v>
      </c>
      <c r="L38" s="173">
        <f t="shared" si="3"/>
        <v>0</v>
      </c>
      <c r="M38" s="174"/>
      <c r="N38" s="448"/>
      <c r="O38" s="448"/>
      <c r="P38" s="449"/>
      <c r="Q38" s="314">
        <f>P38-H38*VLOOKUP(C38,Unit_Rates!$C$7:$E$113,3,FALSE)</f>
        <v>0</v>
      </c>
      <c r="R38" s="134">
        <v>0</v>
      </c>
      <c r="S38" s="134">
        <v>0</v>
      </c>
      <c r="T38" s="134">
        <v>0</v>
      </c>
      <c r="U38" s="134">
        <v>0</v>
      </c>
      <c r="V38" s="134">
        <v>0</v>
      </c>
      <c r="W38" s="134">
        <v>0</v>
      </c>
      <c r="X38" s="134">
        <v>0</v>
      </c>
      <c r="Y38" s="304">
        <f t="shared" si="4"/>
        <v>0</v>
      </c>
      <c r="AK38" s="349"/>
      <c r="AL38" s="349"/>
    </row>
    <row r="39" spans="2:38" x14ac:dyDescent="0.25">
      <c r="B39" s="84"/>
      <c r="C39" s="23" t="s">
        <v>155</v>
      </c>
      <c r="D39" s="23" t="str">
        <f>INDEX(Unit_Rates!$C$7:$K$113,MATCH($C39,Unit_Rates!$C$7:$C$113,0),5)</f>
        <v>Subtransmission</v>
      </c>
      <c r="E39" s="23" t="str">
        <f>INDEX(Unit_Rates!$C$7:$K$113,MATCH($C39,Unit_Rates!$C$7:$C$113,0),6)</f>
        <v>Augmentation</v>
      </c>
      <c r="F39" s="23" t="str">
        <f t="shared" si="5"/>
        <v>SubtransmissionAugmentation</v>
      </c>
      <c r="G39" s="170">
        <f>INDEX(Unit_Rates!$C$7:$K$113,MATCH($C39,Unit_Rates!$C$7:$C$113,0),7)</f>
        <v>0</v>
      </c>
      <c r="H39" s="171"/>
      <c r="I39" s="123" t="s">
        <v>294</v>
      </c>
      <c r="J39" s="165"/>
      <c r="K39" s="172">
        <f t="shared" si="11"/>
        <v>0</v>
      </c>
      <c r="L39" s="173">
        <f t="shared" si="3"/>
        <v>0</v>
      </c>
      <c r="M39" s="174"/>
      <c r="N39" s="448"/>
      <c r="O39" s="448"/>
      <c r="P39" s="449"/>
      <c r="Q39" s="314">
        <f>P39-H39*VLOOKUP(C39,Unit_Rates!$C$7:$E$113,3,FALSE)</f>
        <v>0</v>
      </c>
      <c r="R39" s="134">
        <v>0</v>
      </c>
      <c r="S39" s="134">
        <v>0</v>
      </c>
      <c r="T39" s="134">
        <v>0</v>
      </c>
      <c r="U39" s="134">
        <v>0</v>
      </c>
      <c r="V39" s="134">
        <v>0</v>
      </c>
      <c r="W39" s="134">
        <v>0</v>
      </c>
      <c r="X39" s="134">
        <v>0</v>
      </c>
      <c r="Y39" s="304">
        <f t="shared" si="4"/>
        <v>0</v>
      </c>
      <c r="AK39" s="349"/>
      <c r="AL39" s="349"/>
    </row>
    <row r="40" spans="2:38" x14ac:dyDescent="0.25">
      <c r="B40" s="84"/>
      <c r="C40" s="23" t="s">
        <v>159</v>
      </c>
      <c r="D40" s="23" t="str">
        <f>INDEX(Unit_Rates!$C$7:$K$113,MATCH($C40,Unit_Rates!$C$7:$C$113,0),5)</f>
        <v>Subtransmission</v>
      </c>
      <c r="E40" s="23" t="str">
        <f>INDEX(Unit_Rates!$C$7:$K$113,MATCH($C40,Unit_Rates!$C$7:$C$113,0),6)</f>
        <v>Augmentation</v>
      </c>
      <c r="F40" s="23" t="str">
        <f t="shared" si="5"/>
        <v>SubtransmissionAugmentation</v>
      </c>
      <c r="G40" s="170">
        <f>INDEX(Unit_Rates!$C$7:$K$113,MATCH($C40,Unit_Rates!$C$7:$C$113,0),7)</f>
        <v>0.61999999999999977</v>
      </c>
      <c r="H40" s="171"/>
      <c r="I40" s="123" t="s">
        <v>294</v>
      </c>
      <c r="J40" s="165"/>
      <c r="K40" s="172">
        <f t="shared" si="11"/>
        <v>0</v>
      </c>
      <c r="L40" s="173">
        <f t="shared" si="3"/>
        <v>0</v>
      </c>
      <c r="M40" s="174"/>
      <c r="N40" s="448"/>
      <c r="O40" s="448"/>
      <c r="P40" s="449"/>
      <c r="Q40" s="314">
        <f>P40-H40*VLOOKUP(C40,Unit_Rates!$C$7:$E$113,3,FALSE)</f>
        <v>0</v>
      </c>
      <c r="R40" s="134">
        <v>0</v>
      </c>
      <c r="S40" s="134">
        <v>0</v>
      </c>
      <c r="T40" s="134">
        <v>0</v>
      </c>
      <c r="U40" s="134">
        <v>0</v>
      </c>
      <c r="V40" s="134">
        <v>0</v>
      </c>
      <c r="W40" s="134">
        <v>0</v>
      </c>
      <c r="X40" s="134">
        <v>0</v>
      </c>
      <c r="Y40" s="304">
        <f t="shared" si="4"/>
        <v>0</v>
      </c>
      <c r="AK40" s="349"/>
      <c r="AL40" s="349"/>
    </row>
    <row r="41" spans="2:38" x14ac:dyDescent="0.25">
      <c r="B41" s="84"/>
      <c r="C41" s="23" t="s">
        <v>179</v>
      </c>
      <c r="D41" s="23" t="str">
        <f>INDEX(Unit_Rates!$C$7:$K$113,MATCH($C41,Unit_Rates!$C$7:$C$113,0),5)</f>
        <v>Subtransmission</v>
      </c>
      <c r="E41" s="23" t="str">
        <f>INDEX(Unit_Rates!$C$7:$K$113,MATCH($C41,Unit_Rates!$C$7:$C$113,0),6)</f>
        <v>Augmentation</v>
      </c>
      <c r="F41" s="23" t="str">
        <f t="shared" si="5"/>
        <v>SubtransmissionAugmentation</v>
      </c>
      <c r="G41" s="170">
        <f>INDEX(Unit_Rates!$C$7:$K$113,MATCH($C41,Unit_Rates!$C$7:$C$113,0),7)</f>
        <v>0</v>
      </c>
      <c r="H41" s="171"/>
      <c r="I41" s="123" t="s">
        <v>294</v>
      </c>
      <c r="J41" s="165"/>
      <c r="K41" s="172">
        <f t="shared" si="11"/>
        <v>0</v>
      </c>
      <c r="L41" s="173">
        <f t="shared" si="3"/>
        <v>0</v>
      </c>
      <c r="M41" s="174"/>
      <c r="N41" s="448"/>
      <c r="O41" s="448"/>
      <c r="P41" s="449"/>
      <c r="Q41" s="314">
        <f>P41-H41*VLOOKUP(C41,Unit_Rates!$C$7:$E$113,3,FALSE)</f>
        <v>0</v>
      </c>
      <c r="R41" s="134">
        <v>0</v>
      </c>
      <c r="S41" s="134">
        <v>0</v>
      </c>
      <c r="T41" s="134">
        <v>0</v>
      </c>
      <c r="U41" s="134">
        <v>0</v>
      </c>
      <c r="V41" s="134">
        <v>0</v>
      </c>
      <c r="W41" s="134">
        <v>0</v>
      </c>
      <c r="X41" s="134">
        <v>0</v>
      </c>
      <c r="Y41" s="304">
        <f t="shared" si="4"/>
        <v>0</v>
      </c>
      <c r="AK41" s="349"/>
      <c r="AL41" s="349"/>
    </row>
    <row r="42" spans="2:38" x14ac:dyDescent="0.25">
      <c r="B42" s="84"/>
      <c r="C42" s="23" t="s">
        <v>161</v>
      </c>
      <c r="D42" s="23" t="str">
        <f>INDEX(Unit_Rates!$C$7:$K$113,MATCH($C42,Unit_Rates!$C$7:$C$113,0),5)</f>
        <v>Subtransmission</v>
      </c>
      <c r="E42" s="23" t="str">
        <f>INDEX(Unit_Rates!$C$7:$K$113,MATCH($C42,Unit_Rates!$C$7:$C$113,0),6)</f>
        <v>Augmentation</v>
      </c>
      <c r="F42" s="23" t="str">
        <f t="shared" si="5"/>
        <v>SubtransmissionAugmentation</v>
      </c>
      <c r="G42" s="170">
        <f>INDEX(Unit_Rates!$C$7:$K$113,MATCH($C42,Unit_Rates!$C$7:$C$113,0),7)</f>
        <v>93.853999999999985</v>
      </c>
      <c r="H42" s="171">
        <v>1</v>
      </c>
      <c r="I42" s="123" t="s">
        <v>294</v>
      </c>
      <c r="J42" s="165"/>
      <c r="K42" s="172">
        <f t="shared" si="11"/>
        <v>93.853999999999985</v>
      </c>
      <c r="L42" s="173">
        <f t="shared" si="3"/>
        <v>0</v>
      </c>
      <c r="M42" s="174"/>
      <c r="N42" s="448"/>
      <c r="O42" s="448"/>
      <c r="P42" s="449"/>
      <c r="Q42" s="314">
        <f>P42-H42*VLOOKUP(C42,Unit_Rates!$C$7:$E$113,3,FALSE)</f>
        <v>0</v>
      </c>
      <c r="R42" s="134">
        <v>0</v>
      </c>
      <c r="S42" s="134">
        <v>0</v>
      </c>
      <c r="T42" s="134">
        <v>0</v>
      </c>
      <c r="U42" s="134">
        <v>0</v>
      </c>
      <c r="V42" s="134">
        <v>0</v>
      </c>
      <c r="W42" s="134">
        <v>0</v>
      </c>
      <c r="X42" s="134">
        <v>0</v>
      </c>
      <c r="Y42" s="304">
        <f t="shared" si="4"/>
        <v>0</v>
      </c>
      <c r="AK42" s="349"/>
      <c r="AL42" s="349"/>
    </row>
    <row r="43" spans="2:38" x14ac:dyDescent="0.25">
      <c r="B43" s="84"/>
      <c r="C43" s="23" t="s">
        <v>163</v>
      </c>
      <c r="D43" s="23" t="str">
        <f>INDEX(Unit_Rates!$C$7:$K$113,MATCH($C43,Unit_Rates!$C$7:$C$113,0),5)</f>
        <v>Subtransmission</v>
      </c>
      <c r="E43" s="23" t="str">
        <f>INDEX(Unit_Rates!$C$7:$K$113,MATCH($C43,Unit_Rates!$C$7:$C$113,0),6)</f>
        <v>Augmentation</v>
      </c>
      <c r="F43" s="23" t="str">
        <f t="shared" si="5"/>
        <v>SubtransmissionAugmentation</v>
      </c>
      <c r="G43" s="170">
        <f>INDEX(Unit_Rates!$C$7:$K$113,MATCH($C43,Unit_Rates!$C$7:$C$113,0),7)</f>
        <v>0</v>
      </c>
      <c r="H43" s="171">
        <v>1</v>
      </c>
      <c r="I43" s="123" t="s">
        <v>294</v>
      </c>
      <c r="J43" s="165"/>
      <c r="K43" s="172">
        <f t="shared" si="11"/>
        <v>0</v>
      </c>
      <c r="L43" s="173">
        <f t="shared" si="3"/>
        <v>0</v>
      </c>
      <c r="M43" s="174"/>
      <c r="N43" s="448"/>
      <c r="O43" s="448"/>
      <c r="P43" s="449"/>
      <c r="Q43" s="314">
        <f>P43-H43*VLOOKUP(C43,Unit_Rates!$C$7:$E$113,3,FALSE)</f>
        <v>0</v>
      </c>
      <c r="R43" s="134">
        <v>0</v>
      </c>
      <c r="S43" s="134">
        <v>0</v>
      </c>
      <c r="T43" s="134">
        <v>0</v>
      </c>
      <c r="U43" s="134">
        <v>0</v>
      </c>
      <c r="V43" s="134">
        <v>0</v>
      </c>
      <c r="W43" s="134">
        <v>0</v>
      </c>
      <c r="X43" s="134">
        <v>0</v>
      </c>
      <c r="Y43" s="304">
        <f t="shared" si="4"/>
        <v>0</v>
      </c>
      <c r="AK43" s="349"/>
      <c r="AL43" s="349"/>
    </row>
    <row r="44" spans="2:38" x14ac:dyDescent="0.25">
      <c r="B44" s="84"/>
      <c r="C44" s="23" t="s">
        <v>167</v>
      </c>
      <c r="D44" s="23" t="str">
        <f>INDEX(Unit_Rates!$C$7:$K$113,MATCH($C44,Unit_Rates!$C$7:$C$113,0),5)</f>
        <v>Subtransmission</v>
      </c>
      <c r="E44" s="23" t="str">
        <f>INDEX(Unit_Rates!$C$7:$K$113,MATCH($C44,Unit_Rates!$C$7:$C$113,0),6)</f>
        <v>Augmentation</v>
      </c>
      <c r="F44" s="23" t="str">
        <f t="shared" si="5"/>
        <v>SubtransmissionAugmentation</v>
      </c>
      <c r="G44" s="170">
        <f>INDEX(Unit_Rates!$C$7:$K$113,MATCH($C44,Unit_Rates!$C$7:$C$113,0),7)</f>
        <v>227.62999999999997</v>
      </c>
      <c r="H44" s="171"/>
      <c r="I44" s="123" t="s">
        <v>294</v>
      </c>
      <c r="J44" s="165"/>
      <c r="K44" s="172">
        <f t="shared" si="11"/>
        <v>0</v>
      </c>
      <c r="L44" s="173">
        <f t="shared" si="3"/>
        <v>0</v>
      </c>
      <c r="M44" s="174"/>
      <c r="N44" s="448"/>
      <c r="O44" s="448"/>
      <c r="P44" s="449"/>
      <c r="Q44" s="314">
        <f>P44-H44*VLOOKUP(C44,Unit_Rates!$C$7:$E$113,3,FALSE)</f>
        <v>0</v>
      </c>
      <c r="R44" s="134">
        <v>0</v>
      </c>
      <c r="S44" s="134">
        <v>0</v>
      </c>
      <c r="T44" s="134">
        <v>0</v>
      </c>
      <c r="U44" s="134">
        <v>0</v>
      </c>
      <c r="V44" s="134">
        <v>0</v>
      </c>
      <c r="W44" s="134">
        <v>0</v>
      </c>
      <c r="X44" s="134">
        <v>0</v>
      </c>
      <c r="Y44" s="304">
        <f t="shared" si="4"/>
        <v>0</v>
      </c>
      <c r="AK44" s="349"/>
      <c r="AL44" s="349"/>
    </row>
    <row r="45" spans="2:38" x14ac:dyDescent="0.25">
      <c r="B45" s="84"/>
      <c r="C45" s="23" t="s">
        <v>171</v>
      </c>
      <c r="D45" s="23" t="str">
        <f>INDEX(Unit_Rates!$C$7:$K$113,MATCH($C45,Unit_Rates!$C$7:$C$113,0),5)</f>
        <v>Subtransmission</v>
      </c>
      <c r="E45" s="23" t="str">
        <f>INDEX(Unit_Rates!$C$7:$K$113,MATCH($C45,Unit_Rates!$C$7:$C$113,0),6)</f>
        <v>Augmentation</v>
      </c>
      <c r="F45" s="23" t="str">
        <f t="shared" si="5"/>
        <v>SubtransmissionAugmentation</v>
      </c>
      <c r="G45" s="170">
        <f>INDEX(Unit_Rates!$C$7:$K$113,MATCH($C45,Unit_Rates!$C$7:$C$113,0),7)</f>
        <v>369.03899999999987</v>
      </c>
      <c r="H45" s="171"/>
      <c r="I45" s="123" t="s">
        <v>294</v>
      </c>
      <c r="J45" s="165"/>
      <c r="K45" s="172">
        <f t="shared" si="11"/>
        <v>0</v>
      </c>
      <c r="L45" s="173">
        <f t="shared" si="3"/>
        <v>0</v>
      </c>
      <c r="M45" s="174"/>
      <c r="N45" s="448"/>
      <c r="O45" s="448"/>
      <c r="P45" s="449"/>
      <c r="Q45" s="314">
        <f>P45-H45*VLOOKUP(C45,Unit_Rates!$C$7:$E$113,3,FALSE)</f>
        <v>0</v>
      </c>
      <c r="R45" s="134">
        <v>0</v>
      </c>
      <c r="S45" s="134">
        <v>0</v>
      </c>
      <c r="T45" s="134">
        <v>0</v>
      </c>
      <c r="U45" s="134">
        <v>0</v>
      </c>
      <c r="V45" s="134">
        <v>0</v>
      </c>
      <c r="W45" s="134">
        <v>0</v>
      </c>
      <c r="X45" s="134">
        <v>0</v>
      </c>
      <c r="Y45" s="304">
        <f t="shared" si="4"/>
        <v>0</v>
      </c>
      <c r="AK45" s="349"/>
      <c r="AL45" s="349"/>
    </row>
    <row r="46" spans="2:38" x14ac:dyDescent="0.25">
      <c r="B46" s="84"/>
      <c r="C46" s="23" t="s">
        <v>173</v>
      </c>
      <c r="D46" s="23" t="str">
        <f>INDEX(Unit_Rates!$C$7:$K$113,MATCH($C46,Unit_Rates!$C$7:$C$113,0),5)</f>
        <v>Subtransmission</v>
      </c>
      <c r="E46" s="23" t="str">
        <f>INDEX(Unit_Rates!$C$7:$K$113,MATCH($C46,Unit_Rates!$C$7:$C$113,0),6)</f>
        <v>Augmentation</v>
      </c>
      <c r="F46" s="23" t="str">
        <f t="shared" si="5"/>
        <v>SubtransmissionAugmentation</v>
      </c>
      <c r="G46" s="170">
        <v>0.10164358620689655</v>
      </c>
      <c r="H46" s="171">
        <v>580</v>
      </c>
      <c r="I46" s="123" t="s">
        <v>295</v>
      </c>
      <c r="J46" s="165"/>
      <c r="K46" s="172">
        <f t="shared" si="11"/>
        <v>58.953279999999999</v>
      </c>
      <c r="L46" s="173">
        <f t="shared" si="3"/>
        <v>0</v>
      </c>
      <c r="M46" s="174"/>
      <c r="N46" s="448"/>
      <c r="O46" s="448"/>
      <c r="P46" s="449"/>
      <c r="Q46" s="152"/>
      <c r="R46" s="134">
        <v>0</v>
      </c>
      <c r="S46" s="134">
        <v>0</v>
      </c>
      <c r="T46" s="134">
        <v>0</v>
      </c>
      <c r="U46" s="134">
        <v>0</v>
      </c>
      <c r="V46" s="134">
        <v>0</v>
      </c>
      <c r="W46" s="134">
        <v>0</v>
      </c>
      <c r="X46" s="134">
        <v>0</v>
      </c>
      <c r="Y46" s="304">
        <f t="shared" si="4"/>
        <v>0</v>
      </c>
      <c r="AK46" s="349"/>
      <c r="AL46" s="349"/>
    </row>
    <row r="47" spans="2:38" x14ac:dyDescent="0.25">
      <c r="B47" s="84"/>
      <c r="C47" s="23" t="s">
        <v>177</v>
      </c>
      <c r="D47" s="23" t="str">
        <f>INDEX(Unit_Rates!$C$7:$K$113,MATCH($C47,Unit_Rates!$C$7:$C$113,0),5)</f>
        <v>Subtransmission</v>
      </c>
      <c r="E47" s="23" t="str">
        <f>INDEX(Unit_Rates!$C$7:$K$113,MATCH($C47,Unit_Rates!$C$7:$C$113,0),6)</f>
        <v>Augmentation</v>
      </c>
      <c r="F47" s="23" t="str">
        <f t="shared" si="5"/>
        <v>SubtransmissionAugmentation</v>
      </c>
      <c r="G47" s="179">
        <f>INDEX(Unit_Rates!$C$7:$K$113,MATCH($C47,Unit_Rates!$C$7:$C$113,0),7)</f>
        <v>4.9999999999999996E-2</v>
      </c>
      <c r="H47" s="171"/>
      <c r="I47" s="123" t="s">
        <v>295</v>
      </c>
      <c r="J47" s="165"/>
      <c r="K47" s="172">
        <f t="shared" si="11"/>
        <v>0</v>
      </c>
      <c r="L47" s="173">
        <f t="shared" si="3"/>
        <v>0</v>
      </c>
      <c r="M47" s="174"/>
      <c r="N47" s="448"/>
      <c r="O47" s="448"/>
      <c r="P47" s="449"/>
      <c r="Q47" s="314">
        <f>P47-H47*VLOOKUP(C47,Unit_Rates!$C$7:$E$113,3,FALSE)</f>
        <v>0</v>
      </c>
      <c r="R47" s="134">
        <v>0</v>
      </c>
      <c r="S47" s="134">
        <v>0</v>
      </c>
      <c r="T47" s="134">
        <v>0</v>
      </c>
      <c r="U47" s="134">
        <v>0</v>
      </c>
      <c r="V47" s="134">
        <v>0</v>
      </c>
      <c r="W47" s="134">
        <v>0</v>
      </c>
      <c r="X47" s="134">
        <v>0</v>
      </c>
      <c r="Y47" s="304">
        <f t="shared" si="4"/>
        <v>0</v>
      </c>
      <c r="AK47" s="318"/>
      <c r="AL47" s="349"/>
    </row>
    <row r="48" spans="2:38" x14ac:dyDescent="0.25">
      <c r="B48" s="84"/>
      <c r="C48" s="23" t="s">
        <v>25</v>
      </c>
      <c r="D48" t="s">
        <v>3</v>
      </c>
      <c r="E48" t="s">
        <v>27</v>
      </c>
      <c r="F48" s="23" t="str">
        <f t="shared" si="5"/>
        <v>SubtransmissionAugmentation</v>
      </c>
      <c r="G48" s="170">
        <v>37.321999999999996</v>
      </c>
      <c r="H48" s="171">
        <v>6</v>
      </c>
      <c r="I48" s="123" t="s">
        <v>294</v>
      </c>
      <c r="J48" s="165"/>
      <c r="K48" s="172">
        <f t="shared" si="11"/>
        <v>223.93199999999996</v>
      </c>
      <c r="L48" s="173">
        <f t="shared" si="3"/>
        <v>0</v>
      </c>
      <c r="M48" s="174"/>
      <c r="N48" s="448"/>
      <c r="O48" s="451"/>
      <c r="P48" s="449"/>
      <c r="Q48" s="152"/>
      <c r="R48" s="134">
        <v>0</v>
      </c>
      <c r="S48" s="134">
        <v>0</v>
      </c>
      <c r="T48" s="134">
        <v>0</v>
      </c>
      <c r="U48" s="134">
        <v>0</v>
      </c>
      <c r="V48" s="134">
        <v>0</v>
      </c>
      <c r="W48" s="134">
        <v>0</v>
      </c>
      <c r="X48" s="134">
        <v>0</v>
      </c>
      <c r="Y48" s="304">
        <f t="shared" si="4"/>
        <v>0</v>
      </c>
      <c r="AK48" s="349"/>
      <c r="AL48" s="349"/>
    </row>
    <row r="49" spans="2:38" x14ac:dyDescent="0.25">
      <c r="B49" s="84"/>
      <c r="C49" s="23" t="s">
        <v>337</v>
      </c>
      <c r="D49" s="23" t="str">
        <f>INDEX(Unit_Rates!$C$7:$K$113,MATCH($C49,Unit_Rates!$C$7:$C$113,0),5)</f>
        <v>Subtransmission</v>
      </c>
      <c r="E49" s="23" t="str">
        <f>INDEX(Unit_Rates!$C$7:$K$113,MATCH($C49,Unit_Rates!$C$7:$C$113,0),6)</f>
        <v>Augmentation</v>
      </c>
      <c r="F49" s="23" t="str">
        <f t="shared" si="5"/>
        <v>SubtransmissionAugmentation</v>
      </c>
      <c r="G49" s="170">
        <f>INDEX(Unit_Rates!$C$7:$K$113,MATCH($C49,Unit_Rates!$C$7:$C$113,0),7)</f>
        <v>465.78000000000003</v>
      </c>
      <c r="H49" s="171">
        <v>1</v>
      </c>
      <c r="I49" s="123" t="s">
        <v>294</v>
      </c>
      <c r="J49" s="165"/>
      <c r="K49" s="172">
        <f t="shared" si="11"/>
        <v>465.78000000000003</v>
      </c>
      <c r="L49" s="173">
        <f t="shared" si="3"/>
        <v>0</v>
      </c>
      <c r="M49" s="174"/>
      <c r="N49" s="448"/>
      <c r="O49" s="448"/>
      <c r="P49" s="449"/>
      <c r="Q49" s="314">
        <f>P49-H49*VLOOKUP(C49,Unit_Rates!$C$7:$E$113,3,FALSE)</f>
        <v>0</v>
      </c>
      <c r="R49" s="134">
        <v>0</v>
      </c>
      <c r="S49" s="134">
        <v>0</v>
      </c>
      <c r="T49" s="134">
        <v>0</v>
      </c>
      <c r="U49" s="134">
        <v>0</v>
      </c>
      <c r="V49" s="134">
        <v>0</v>
      </c>
      <c r="W49" s="134">
        <v>0</v>
      </c>
      <c r="X49" s="134">
        <v>0</v>
      </c>
      <c r="Y49" s="304">
        <f t="shared" si="4"/>
        <v>0</v>
      </c>
      <c r="AK49" s="349"/>
      <c r="AL49" s="349"/>
    </row>
    <row r="50" spans="2:38" x14ac:dyDescent="0.25">
      <c r="B50" s="84"/>
      <c r="C50" s="23" t="s">
        <v>183</v>
      </c>
      <c r="D50" s="23" t="str">
        <f>INDEX(Unit_Rates!$C$7:$K$113,MATCH($C50,Unit_Rates!$C$7:$C$113,0),5)</f>
        <v>Subtransmission</v>
      </c>
      <c r="E50" s="23" t="str">
        <f>INDEX(Unit_Rates!$C$7:$K$113,MATCH($C50,Unit_Rates!$C$7:$C$113,0),6)</f>
        <v>Augmentation</v>
      </c>
      <c r="F50" s="23" t="str">
        <f t="shared" si="5"/>
        <v>SubtransmissionAugmentation</v>
      </c>
      <c r="G50" s="170">
        <f>INDEX(Unit_Rates!$C$7:$K$113,MATCH($C50,Unit_Rates!$C$7:$C$113,0),7)</f>
        <v>0</v>
      </c>
      <c r="H50" s="171"/>
      <c r="I50" s="123" t="s">
        <v>294</v>
      </c>
      <c r="J50" s="165"/>
      <c r="K50" s="172">
        <v>0</v>
      </c>
      <c r="L50" s="173">
        <f t="shared" si="3"/>
        <v>0</v>
      </c>
      <c r="M50" s="174"/>
      <c r="N50" s="448"/>
      <c r="O50" s="448"/>
      <c r="P50" s="449"/>
      <c r="Q50" s="314">
        <f>P50-H50*VLOOKUP(C50,Unit_Rates!$C$7:$E$113,3,FALSE)</f>
        <v>0</v>
      </c>
      <c r="R50" s="134">
        <v>0</v>
      </c>
      <c r="S50" s="134">
        <v>0</v>
      </c>
      <c r="T50" s="134">
        <v>0</v>
      </c>
      <c r="U50" s="134">
        <v>0</v>
      </c>
      <c r="V50" s="134">
        <v>0</v>
      </c>
      <c r="W50" s="134">
        <v>0</v>
      </c>
      <c r="X50" s="134">
        <v>0</v>
      </c>
      <c r="Y50" s="304">
        <f t="shared" si="4"/>
        <v>0</v>
      </c>
      <c r="AK50" s="349"/>
      <c r="AL50" s="349"/>
    </row>
    <row r="51" spans="2:38" x14ac:dyDescent="0.25">
      <c r="B51" s="84"/>
      <c r="G51" s="170"/>
      <c r="H51" s="171"/>
      <c r="I51" s="167"/>
      <c r="J51" s="165"/>
      <c r="K51" s="149"/>
      <c r="L51" s="167"/>
      <c r="M51" s="169"/>
      <c r="N51" s="181"/>
      <c r="O51" s="181"/>
      <c r="P51" s="371"/>
      <c r="Q51" s="152"/>
      <c r="R51" s="189"/>
      <c r="S51" s="189"/>
      <c r="T51" s="189"/>
      <c r="U51" s="189"/>
      <c r="V51" s="189"/>
      <c r="W51" s="189"/>
      <c r="X51" s="189"/>
      <c r="Y51" s="77"/>
      <c r="AK51" s="349"/>
      <c r="AL51" s="349"/>
    </row>
    <row r="52" spans="2:38" x14ac:dyDescent="0.25">
      <c r="B52" s="120" t="s">
        <v>296</v>
      </c>
      <c r="G52" s="170"/>
      <c r="H52" s="171"/>
      <c r="I52" s="123"/>
      <c r="J52" s="153"/>
      <c r="K52" s="172"/>
      <c r="L52" s="172"/>
      <c r="M52" s="181"/>
      <c r="N52" s="182"/>
      <c r="O52" s="181"/>
      <c r="P52" s="293"/>
      <c r="Q52" s="152"/>
      <c r="R52" s="189"/>
      <c r="S52" s="189"/>
      <c r="T52" s="189"/>
      <c r="U52" s="189"/>
      <c r="V52" s="189"/>
      <c r="W52" s="189"/>
      <c r="X52" s="189"/>
      <c r="Y52" s="77"/>
      <c r="AK52" s="349"/>
      <c r="AL52" s="349"/>
    </row>
    <row r="53" spans="2:38" x14ac:dyDescent="0.25">
      <c r="B53" s="84"/>
      <c r="C53" s="23" t="s">
        <v>348</v>
      </c>
      <c r="D53" s="23" t="str">
        <f>INDEX(Unit_Rates!$C$7:$K$113,MATCH($C53,Unit_Rates!$C$7:$C$113,0),5)</f>
        <v>SCADA/Network control</v>
      </c>
      <c r="E53" s="23" t="str">
        <f>INDEX(Unit_Rates!$C$7:$K$113,MATCH($C53,Unit_Rates!$C$7:$C$113,0),6)</f>
        <v>Augmentation</v>
      </c>
      <c r="F53" s="23" t="str">
        <f t="shared" ref="F53:F64" si="12">D53&amp;E53</f>
        <v>SCADA/Network controlAugmentation</v>
      </c>
      <c r="G53" s="170">
        <f>INDEX(Unit_Rates!$C$7:$K$113,MATCH($C53,Unit_Rates!$C$7:$C$113,0),7)</f>
        <v>76.729563200000001</v>
      </c>
      <c r="H53" s="171"/>
      <c r="I53" s="123" t="s">
        <v>294</v>
      </c>
      <c r="J53" s="165"/>
      <c r="K53" s="172">
        <f>G53*H53</f>
        <v>0</v>
      </c>
      <c r="L53" s="172">
        <f t="shared" ref="L53:L64" si="13">SUMPRODUCT(R$5:X$5,R53:X53)/Thousands</f>
        <v>0</v>
      </c>
      <c r="M53" s="151"/>
      <c r="N53" s="448"/>
      <c r="O53" s="448"/>
      <c r="P53" s="449"/>
      <c r="Q53" s="314">
        <f>P53-H53*VLOOKUP(C53,Unit_Rates!$C$58:$E$113,3,FALSE)</f>
        <v>0</v>
      </c>
      <c r="R53" s="134">
        <v>0</v>
      </c>
      <c r="S53" s="134">
        <v>0</v>
      </c>
      <c r="T53" s="134">
        <v>0</v>
      </c>
      <c r="U53" s="134">
        <v>0</v>
      </c>
      <c r="V53" s="134">
        <v>0</v>
      </c>
      <c r="W53" s="134">
        <v>0</v>
      </c>
      <c r="X53" s="134">
        <v>0</v>
      </c>
      <c r="Y53" s="304">
        <f t="shared" ref="Y53:Y64" si="14">SUM(R53:X53)</f>
        <v>0</v>
      </c>
      <c r="AK53" s="349"/>
      <c r="AL53" s="349"/>
    </row>
    <row r="54" spans="2:38" x14ac:dyDescent="0.25">
      <c r="B54" s="84"/>
      <c r="C54" s="23" t="s">
        <v>349</v>
      </c>
      <c r="D54" s="23" t="str">
        <f>INDEX(Unit_Rates!$C$7:$K$113,MATCH($C54,Unit_Rates!$C$7:$C$113,0),5)</f>
        <v>SCADA/Network control</v>
      </c>
      <c r="E54" s="23" t="str">
        <f>INDEX(Unit_Rates!$C$7:$K$113,MATCH($C54,Unit_Rates!$C$7:$C$113,0),6)</f>
        <v>Augmentation</v>
      </c>
      <c r="F54" s="23" t="str">
        <f t="shared" si="12"/>
        <v>SCADA/Network controlAugmentation</v>
      </c>
      <c r="G54" s="170">
        <f>INDEX(Unit_Rates!$C$7:$K$113,MATCH($C54,Unit_Rates!$C$7:$C$113,0),7)</f>
        <v>223.65781870000001</v>
      </c>
      <c r="H54" s="171"/>
      <c r="I54" s="123" t="s">
        <v>294</v>
      </c>
      <c r="J54" s="165"/>
      <c r="K54" s="172">
        <f>G54*H54</f>
        <v>0</v>
      </c>
      <c r="L54" s="172">
        <f t="shared" si="13"/>
        <v>0</v>
      </c>
      <c r="M54" s="151"/>
      <c r="N54" s="448"/>
      <c r="O54" s="448"/>
      <c r="P54" s="449"/>
      <c r="Q54" s="314">
        <f>P54-H54*VLOOKUP(C54,Unit_Rates!$C$58:$E$113,3,FALSE)</f>
        <v>0</v>
      </c>
      <c r="R54" s="134">
        <v>0</v>
      </c>
      <c r="S54" s="134">
        <v>0</v>
      </c>
      <c r="T54" s="134">
        <v>0</v>
      </c>
      <c r="U54" s="134">
        <v>0</v>
      </c>
      <c r="V54" s="134">
        <v>0</v>
      </c>
      <c r="W54" s="134">
        <v>0</v>
      </c>
      <c r="X54" s="134">
        <v>0</v>
      </c>
      <c r="Y54" s="304">
        <f t="shared" si="14"/>
        <v>0</v>
      </c>
      <c r="AK54" s="349"/>
      <c r="AL54" s="349"/>
    </row>
    <row r="55" spans="2:38" x14ac:dyDescent="0.25">
      <c r="B55" s="84"/>
      <c r="C55" s="23" t="s">
        <v>350</v>
      </c>
      <c r="D55" s="23" t="str">
        <f>INDEX(Unit_Rates!$C$7:$K$113,MATCH($C55,Unit_Rates!$C$7:$C$113,0),5)</f>
        <v>SCADA/Network control</v>
      </c>
      <c r="E55" s="23" t="str">
        <f>INDEX(Unit_Rates!$C$7:$K$113,MATCH($C55,Unit_Rates!$C$7:$C$113,0),6)</f>
        <v>Augmentation</v>
      </c>
      <c r="F55" s="23" t="str">
        <f t="shared" si="12"/>
        <v>SCADA/Network controlAugmentation</v>
      </c>
      <c r="G55" s="170">
        <f>INDEX(Unit_Rates!$C$7:$K$113,MATCH($C55,Unit_Rates!$C$7:$C$113,0),7)</f>
        <v>252.11545104999999</v>
      </c>
      <c r="H55" s="171"/>
      <c r="I55" s="123" t="s">
        <v>294</v>
      </c>
      <c r="J55" s="165"/>
      <c r="K55" s="172">
        <f t="shared" ref="K55:K60" si="15">G55*H55</f>
        <v>0</v>
      </c>
      <c r="L55" s="172">
        <f t="shared" si="13"/>
        <v>0</v>
      </c>
      <c r="M55" s="151"/>
      <c r="N55" s="448"/>
      <c r="O55" s="448"/>
      <c r="P55" s="449"/>
      <c r="Q55" s="314">
        <f>P55-H55*VLOOKUP(C55,Unit_Rates!$C$58:$E$113,3,FALSE)</f>
        <v>0</v>
      </c>
      <c r="R55" s="134">
        <v>0</v>
      </c>
      <c r="S55" s="134">
        <v>0</v>
      </c>
      <c r="T55" s="134">
        <v>0</v>
      </c>
      <c r="U55" s="134">
        <v>0</v>
      </c>
      <c r="V55" s="134">
        <v>0</v>
      </c>
      <c r="W55" s="134">
        <v>0</v>
      </c>
      <c r="X55" s="134">
        <v>0</v>
      </c>
      <c r="Y55" s="304">
        <f t="shared" si="14"/>
        <v>0</v>
      </c>
      <c r="AK55" s="349"/>
      <c r="AL55" s="349"/>
    </row>
    <row r="56" spans="2:38" x14ac:dyDescent="0.25">
      <c r="B56" s="84"/>
      <c r="C56" s="23" t="s">
        <v>187</v>
      </c>
      <c r="D56" s="23" t="str">
        <f>INDEX(Unit_Rates!$C$7:$K$113,MATCH($C56,Unit_Rates!$C$7:$C$113,0),5)</f>
        <v>SCADA/Network control</v>
      </c>
      <c r="E56" s="23" t="str">
        <f>INDEX(Unit_Rates!$C$7:$K$113,MATCH($C56,Unit_Rates!$C$7:$C$113,0),6)</f>
        <v>Augmentation</v>
      </c>
      <c r="F56" s="23" t="str">
        <f t="shared" ref="F56:F57" si="16">D56&amp;E56</f>
        <v>SCADA/Network controlAugmentation</v>
      </c>
      <c r="G56" s="170">
        <f>INDEX(Unit_Rates!$C$7:$K$113,MATCH($C56,Unit_Rates!$C$7:$C$113,0),7)</f>
        <v>48.982274401473298</v>
      </c>
      <c r="H56" s="171">
        <v>1</v>
      </c>
      <c r="I56" s="123" t="s">
        <v>294</v>
      </c>
      <c r="J56" s="165"/>
      <c r="K56" s="172">
        <f t="shared" ref="K56" si="17">G56*H56</f>
        <v>48.982274401473298</v>
      </c>
      <c r="L56" s="172">
        <f t="shared" ref="L56" si="18">SUMPRODUCT(R$5:X$5,R56:X56)/Thousands</f>
        <v>0</v>
      </c>
      <c r="M56" s="151"/>
      <c r="N56" s="448"/>
      <c r="O56" s="448"/>
      <c r="P56" s="449"/>
      <c r="Q56" s="314">
        <f>P56-H56*VLOOKUP(C56,Unit_Rates!$C$58:$E$113,3,FALSE)</f>
        <v>0</v>
      </c>
      <c r="R56" s="134">
        <v>0</v>
      </c>
      <c r="S56" s="134">
        <v>0</v>
      </c>
      <c r="T56" s="134">
        <v>0</v>
      </c>
      <c r="U56" s="134">
        <v>0</v>
      </c>
      <c r="V56" s="134">
        <v>0</v>
      </c>
      <c r="W56" s="134">
        <v>0</v>
      </c>
      <c r="X56" s="134">
        <v>0</v>
      </c>
      <c r="Y56" s="304">
        <f t="shared" ref="Y56" si="19">SUM(R56:X56)</f>
        <v>0</v>
      </c>
      <c r="AK56" s="349"/>
      <c r="AL56" s="349"/>
    </row>
    <row r="57" spans="2:38" x14ac:dyDescent="0.25">
      <c r="B57" s="84"/>
      <c r="C57" s="23" t="s">
        <v>190</v>
      </c>
      <c r="D57" s="23" t="str">
        <f>INDEX(Unit_Rates!$C$7:$K$113,MATCH($C57,Unit_Rates!$C$7:$C$113,0),5)</f>
        <v>SCADA/Network control</v>
      </c>
      <c r="E57" s="23" t="str">
        <f>INDEX(Unit_Rates!$C$7:$K$113,MATCH($C57,Unit_Rates!$C$7:$C$113,0),6)</f>
        <v>Augmentation</v>
      </c>
      <c r="F57" s="23" t="str">
        <f t="shared" si="16"/>
        <v>SCADA/Network controlAugmentation</v>
      </c>
      <c r="G57" s="170">
        <f>INDEX(Unit_Rates!$C$7:$K$113,MATCH($C57,Unit_Rates!$C$7:$C$113,0),7)</f>
        <v>6.2430939226519344</v>
      </c>
      <c r="H57" s="171"/>
      <c r="I57" s="123" t="s">
        <v>294</v>
      </c>
      <c r="J57" s="165"/>
      <c r="K57" s="172">
        <f t="shared" ref="K57" si="20">G57*H57</f>
        <v>0</v>
      </c>
      <c r="L57" s="172">
        <f t="shared" ref="L57" si="21">SUMPRODUCT(R$5:X$5,R57:X57)/Thousands</f>
        <v>0</v>
      </c>
      <c r="M57" s="151"/>
      <c r="N57" s="448"/>
      <c r="O57" s="448"/>
      <c r="P57" s="449"/>
      <c r="Q57" s="314">
        <f>P57-H57*VLOOKUP(C57,Unit_Rates!$C$58:$E$113,3,FALSE)</f>
        <v>0</v>
      </c>
      <c r="R57" s="134">
        <v>0</v>
      </c>
      <c r="S57" s="134">
        <v>0</v>
      </c>
      <c r="T57" s="134">
        <v>0</v>
      </c>
      <c r="U57" s="134">
        <v>0</v>
      </c>
      <c r="V57" s="134">
        <v>0</v>
      </c>
      <c r="W57" s="134">
        <v>0</v>
      </c>
      <c r="X57" s="134">
        <v>0</v>
      </c>
      <c r="Y57" s="304">
        <f t="shared" ref="Y57" si="22">SUM(R57:X57)</f>
        <v>0</v>
      </c>
      <c r="AK57" s="349"/>
      <c r="AL57" s="349"/>
    </row>
    <row r="58" spans="2:38" x14ac:dyDescent="0.25">
      <c r="B58" s="84"/>
      <c r="C58" s="23" t="s">
        <v>193</v>
      </c>
      <c r="D58" s="23" t="str">
        <f>INDEX(Unit_Rates!$C$7:$K$113,MATCH($C58,Unit_Rates!$C$7:$C$113,0),5)</f>
        <v>SCADA/Network control</v>
      </c>
      <c r="E58" s="23" t="str">
        <f>INDEX(Unit_Rates!$C$7:$K$113,MATCH($C58,Unit_Rates!$C$7:$C$113,0),6)</f>
        <v>Augmentation</v>
      </c>
      <c r="F58" s="23" t="str">
        <f t="shared" si="12"/>
        <v>SCADA/Network controlAugmentation</v>
      </c>
      <c r="G58" s="170">
        <f>INDEX(Unit_Rates!$C$7:$K$113,MATCH($C58,Unit_Rates!$C$7:$C$113,0),7)</f>
        <v>98.007730202578273</v>
      </c>
      <c r="H58" s="171"/>
      <c r="I58" s="123" t="s">
        <v>294</v>
      </c>
      <c r="J58" s="165"/>
      <c r="K58" s="172">
        <f t="shared" si="15"/>
        <v>0</v>
      </c>
      <c r="L58" s="172">
        <f t="shared" si="13"/>
        <v>0</v>
      </c>
      <c r="M58" s="151"/>
      <c r="N58" s="448"/>
      <c r="O58" s="448"/>
      <c r="P58" s="449"/>
      <c r="Q58" s="314">
        <f>P58-H58*VLOOKUP(C58,Unit_Rates!$C$58:$E$113,3,FALSE)</f>
        <v>0</v>
      </c>
      <c r="R58" s="134">
        <v>0</v>
      </c>
      <c r="S58" s="134">
        <v>0</v>
      </c>
      <c r="T58" s="134">
        <v>0</v>
      </c>
      <c r="U58" s="134">
        <v>0</v>
      </c>
      <c r="V58" s="134">
        <v>0</v>
      </c>
      <c r="W58" s="134">
        <v>0</v>
      </c>
      <c r="X58" s="134">
        <v>0</v>
      </c>
      <c r="Y58" s="304">
        <f t="shared" si="14"/>
        <v>0</v>
      </c>
      <c r="AK58" s="349"/>
      <c r="AL58" s="349"/>
    </row>
    <row r="59" spans="2:38" x14ac:dyDescent="0.25">
      <c r="B59" s="84"/>
      <c r="C59" s="23" t="s">
        <v>297</v>
      </c>
      <c r="D59" t="s">
        <v>2</v>
      </c>
      <c r="E59" t="s">
        <v>27</v>
      </c>
      <c r="F59" t="s">
        <v>31</v>
      </c>
      <c r="G59" s="184">
        <v>1</v>
      </c>
      <c r="H59" s="171">
        <v>17</v>
      </c>
      <c r="I59" s="123" t="s">
        <v>294</v>
      </c>
      <c r="J59" s="165"/>
      <c r="K59" s="172">
        <f t="shared" si="15"/>
        <v>17</v>
      </c>
      <c r="L59" s="172">
        <f t="shared" si="13"/>
        <v>0</v>
      </c>
      <c r="M59" s="151"/>
      <c r="N59" s="448"/>
      <c r="O59" s="448"/>
      <c r="P59" s="449"/>
      <c r="Q59" s="152"/>
      <c r="R59" s="134">
        <v>0</v>
      </c>
      <c r="S59" s="134">
        <v>0</v>
      </c>
      <c r="T59" s="134">
        <v>0</v>
      </c>
      <c r="U59" s="134">
        <v>0</v>
      </c>
      <c r="V59" s="134">
        <v>0</v>
      </c>
      <c r="W59" s="134">
        <v>0</v>
      </c>
      <c r="X59" s="134">
        <v>0</v>
      </c>
      <c r="Y59" s="304">
        <f t="shared" si="14"/>
        <v>0</v>
      </c>
      <c r="AK59" s="349"/>
      <c r="AL59" s="349"/>
    </row>
    <row r="60" spans="2:38" x14ac:dyDescent="0.25">
      <c r="B60" s="84"/>
      <c r="C60" s="23" t="s">
        <v>205</v>
      </c>
      <c r="D60" t="s">
        <v>2</v>
      </c>
      <c r="E60" t="s">
        <v>27</v>
      </c>
      <c r="F60" t="s">
        <v>31</v>
      </c>
      <c r="G60" s="170">
        <f>INDEX(Unit_Rates!$C$7:$K$113,MATCH($C60,Unit_Rates!$C$7:$C$113,0),7)</f>
        <v>92.239631675874776</v>
      </c>
      <c r="H60" s="171"/>
      <c r="I60" s="123" t="s">
        <v>294</v>
      </c>
      <c r="J60" s="165"/>
      <c r="K60" s="172">
        <f t="shared" si="15"/>
        <v>0</v>
      </c>
      <c r="L60" s="172">
        <f t="shared" si="13"/>
        <v>0</v>
      </c>
      <c r="M60" s="151"/>
      <c r="N60" s="448"/>
      <c r="O60" s="448"/>
      <c r="P60" s="449"/>
      <c r="Q60" s="314">
        <f>P60-H60*VLOOKUP(C60,Unit_Rates!$C$58:$E$113,3,FALSE)</f>
        <v>0</v>
      </c>
      <c r="R60" s="134">
        <v>0</v>
      </c>
      <c r="S60" s="134">
        <v>0</v>
      </c>
      <c r="T60" s="134">
        <v>0</v>
      </c>
      <c r="U60" s="134">
        <v>0</v>
      </c>
      <c r="V60" s="134">
        <v>0</v>
      </c>
      <c r="W60" s="134">
        <v>0</v>
      </c>
      <c r="X60" s="134">
        <v>0</v>
      </c>
      <c r="Y60" s="304">
        <f t="shared" si="14"/>
        <v>0</v>
      </c>
      <c r="AK60" s="349"/>
      <c r="AL60" s="349"/>
    </row>
    <row r="61" spans="2:38" x14ac:dyDescent="0.25">
      <c r="B61" s="84"/>
      <c r="C61" s="23" t="s">
        <v>298</v>
      </c>
      <c r="D61" t="s">
        <v>2</v>
      </c>
      <c r="E61" t="s">
        <v>27</v>
      </c>
      <c r="F61" s="23" t="str">
        <f t="shared" si="12"/>
        <v>SCADA/Network controlAugmentation</v>
      </c>
      <c r="G61" s="184">
        <v>5.666666666666667</v>
      </c>
      <c r="H61" s="171">
        <v>3</v>
      </c>
      <c r="I61" s="123" t="s">
        <v>294</v>
      </c>
      <c r="J61" s="165"/>
      <c r="K61" s="172">
        <f>G61*H61</f>
        <v>17</v>
      </c>
      <c r="L61" s="172">
        <f t="shared" si="13"/>
        <v>0</v>
      </c>
      <c r="M61" s="151"/>
      <c r="N61" s="448"/>
      <c r="O61" s="448"/>
      <c r="P61" s="449"/>
      <c r="Q61" s="152"/>
      <c r="R61" s="134">
        <v>0</v>
      </c>
      <c r="S61" s="134">
        <v>0</v>
      </c>
      <c r="T61" s="134">
        <v>0</v>
      </c>
      <c r="U61" s="134">
        <v>0</v>
      </c>
      <c r="V61" s="134">
        <v>0</v>
      </c>
      <c r="W61" s="134">
        <v>0</v>
      </c>
      <c r="X61" s="134">
        <v>0</v>
      </c>
      <c r="Y61" s="304">
        <f t="shared" si="14"/>
        <v>0</v>
      </c>
      <c r="AK61" s="349"/>
      <c r="AL61" s="349"/>
    </row>
    <row r="62" spans="2:38" x14ac:dyDescent="0.25">
      <c r="B62" s="120" t="s">
        <v>299</v>
      </c>
      <c r="D62" t="s">
        <v>3</v>
      </c>
      <c r="E62" t="s">
        <v>27</v>
      </c>
      <c r="F62" s="23" t="str">
        <f t="shared" si="12"/>
        <v>SubtransmissionAugmentation</v>
      </c>
      <c r="G62" s="185">
        <v>39.6</v>
      </c>
      <c r="H62" s="171">
        <v>1</v>
      </c>
      <c r="I62" s="123" t="s">
        <v>294</v>
      </c>
      <c r="J62" s="165"/>
      <c r="K62" s="172">
        <f>G62*H62</f>
        <v>39.6</v>
      </c>
      <c r="L62" s="172">
        <f t="shared" si="13"/>
        <v>0</v>
      </c>
      <c r="M62" s="151"/>
      <c r="N62" s="448"/>
      <c r="O62" s="448"/>
      <c r="P62" s="449"/>
      <c r="Q62" s="152"/>
      <c r="R62" s="134">
        <v>0</v>
      </c>
      <c r="S62" s="134">
        <v>0</v>
      </c>
      <c r="T62" s="134">
        <v>0</v>
      </c>
      <c r="U62" s="134">
        <v>0</v>
      </c>
      <c r="V62" s="134">
        <v>0</v>
      </c>
      <c r="W62" s="134">
        <v>0</v>
      </c>
      <c r="X62" s="134">
        <v>0</v>
      </c>
      <c r="Y62" s="304">
        <f t="shared" si="14"/>
        <v>0</v>
      </c>
      <c r="AK62" s="349"/>
      <c r="AL62" s="349"/>
    </row>
    <row r="63" spans="2:38" x14ac:dyDescent="0.25">
      <c r="B63" s="120" t="s">
        <v>347</v>
      </c>
      <c r="D63" t="s">
        <v>3</v>
      </c>
      <c r="E63" t="s">
        <v>27</v>
      </c>
      <c r="F63" s="23" t="str">
        <f t="shared" si="12"/>
        <v>SubtransmissionAugmentation</v>
      </c>
      <c r="G63" s="185">
        <v>1</v>
      </c>
      <c r="H63" s="171">
        <v>1</v>
      </c>
      <c r="I63" s="123" t="s">
        <v>294</v>
      </c>
      <c r="J63" s="165"/>
      <c r="K63" s="172">
        <f>G63*H63</f>
        <v>1</v>
      </c>
      <c r="L63" s="172">
        <f t="shared" si="13"/>
        <v>0</v>
      </c>
      <c r="M63" s="151"/>
      <c r="N63" s="448"/>
      <c r="O63" s="448"/>
      <c r="P63" s="449"/>
      <c r="Q63" s="152"/>
      <c r="R63" s="134">
        <v>0</v>
      </c>
      <c r="S63" s="134">
        <v>0</v>
      </c>
      <c r="T63" s="134">
        <v>0</v>
      </c>
      <c r="U63" s="134">
        <v>0</v>
      </c>
      <c r="V63" s="134">
        <v>0</v>
      </c>
      <c r="W63" s="134">
        <v>0</v>
      </c>
      <c r="X63" s="134">
        <v>0</v>
      </c>
      <c r="Y63" s="304">
        <f t="shared" si="14"/>
        <v>0</v>
      </c>
      <c r="AK63" s="349"/>
      <c r="AL63" s="349"/>
    </row>
    <row r="64" spans="2:38" x14ac:dyDescent="0.25">
      <c r="B64" s="120" t="s">
        <v>346</v>
      </c>
      <c r="D64" t="s">
        <v>3</v>
      </c>
      <c r="E64" t="s">
        <v>27</v>
      </c>
      <c r="F64" s="23" t="str">
        <f t="shared" si="12"/>
        <v>SubtransmissionAugmentation</v>
      </c>
      <c r="G64" s="185">
        <v>6</v>
      </c>
      <c r="H64" s="171">
        <v>1</v>
      </c>
      <c r="I64" s="123" t="s">
        <v>294</v>
      </c>
      <c r="J64" s="165"/>
      <c r="K64" s="172">
        <f>G64*H64</f>
        <v>6</v>
      </c>
      <c r="L64" s="172">
        <f t="shared" si="13"/>
        <v>0</v>
      </c>
      <c r="M64" s="151"/>
      <c r="N64" s="448"/>
      <c r="O64" s="448"/>
      <c r="P64" s="449"/>
      <c r="Q64" s="152"/>
      <c r="R64" s="134">
        <v>0</v>
      </c>
      <c r="S64" s="134">
        <v>0</v>
      </c>
      <c r="T64" s="134">
        <v>0</v>
      </c>
      <c r="U64" s="134">
        <v>0</v>
      </c>
      <c r="V64" s="134">
        <v>0</v>
      </c>
      <c r="W64" s="134">
        <v>0</v>
      </c>
      <c r="X64" s="134">
        <v>0</v>
      </c>
      <c r="Y64" s="304">
        <f t="shared" si="14"/>
        <v>0</v>
      </c>
      <c r="AK64" s="349"/>
      <c r="AL64" s="349"/>
    </row>
    <row r="65" spans="2:38" x14ac:dyDescent="0.25">
      <c r="B65" s="120" t="s">
        <v>300</v>
      </c>
      <c r="G65" s="169"/>
      <c r="H65" s="186"/>
      <c r="I65" s="167"/>
      <c r="K65" s="149"/>
      <c r="L65" s="149"/>
      <c r="M65" s="168"/>
      <c r="N65" s="125"/>
      <c r="O65" s="168"/>
      <c r="P65" s="126"/>
      <c r="Q65" s="152"/>
      <c r="R65" s="189"/>
      <c r="S65" s="189"/>
      <c r="T65" s="189"/>
      <c r="U65" s="189"/>
      <c r="V65" s="189"/>
      <c r="W65" s="189"/>
      <c r="X65" s="189"/>
      <c r="Y65" s="77"/>
      <c r="AK65" s="349"/>
      <c r="AL65" s="349"/>
    </row>
    <row r="66" spans="2:38" x14ac:dyDescent="0.25">
      <c r="B66" s="84"/>
      <c r="C66" s="23" t="s">
        <v>345</v>
      </c>
      <c r="D66" t="s">
        <v>3</v>
      </c>
      <c r="E66" t="s">
        <v>27</v>
      </c>
      <c r="F66" s="23" t="str">
        <f t="shared" ref="F66:F71" si="23">D66&amp;E66</f>
        <v>SubtransmissionAugmentation</v>
      </c>
      <c r="G66" s="185">
        <v>0</v>
      </c>
      <c r="H66" s="171">
        <v>1</v>
      </c>
      <c r="I66" s="123" t="s">
        <v>294</v>
      </c>
      <c r="K66" s="172">
        <f>G66*H66</f>
        <v>0</v>
      </c>
      <c r="L66" s="172">
        <f t="shared" ref="L66:L71" si="24">SUMPRODUCT(R$5:X$5,R66:X66)/Thousands</f>
        <v>0</v>
      </c>
      <c r="M66" s="151"/>
      <c r="N66" s="448"/>
      <c r="O66" s="448"/>
      <c r="P66" s="449"/>
      <c r="Q66" s="152"/>
      <c r="R66" s="134">
        <v>0</v>
      </c>
      <c r="S66" s="134">
        <v>0</v>
      </c>
      <c r="T66" s="134">
        <v>0</v>
      </c>
      <c r="U66" s="134">
        <v>0</v>
      </c>
      <c r="V66" s="134">
        <v>0</v>
      </c>
      <c r="W66" s="134">
        <v>0</v>
      </c>
      <c r="X66" s="134">
        <v>0</v>
      </c>
      <c r="Y66" s="304">
        <f t="shared" ref="Y66:Y71" si="25">SUM(R66:X66)</f>
        <v>0</v>
      </c>
      <c r="AK66" s="349"/>
      <c r="AL66" s="349"/>
    </row>
    <row r="67" spans="2:38" x14ac:dyDescent="0.25">
      <c r="B67" s="84"/>
      <c r="C67" s="23" t="s">
        <v>344</v>
      </c>
      <c r="D67" t="s">
        <v>3</v>
      </c>
      <c r="E67" t="s">
        <v>27</v>
      </c>
      <c r="F67" s="23" t="str">
        <f t="shared" si="23"/>
        <v>SubtransmissionAugmentation</v>
      </c>
      <c r="G67" s="185">
        <v>0</v>
      </c>
      <c r="H67" s="171">
        <v>1</v>
      </c>
      <c r="I67" s="123" t="s">
        <v>294</v>
      </c>
      <c r="K67" s="172">
        <f>G67*H67</f>
        <v>0</v>
      </c>
      <c r="L67" s="172">
        <f t="shared" si="24"/>
        <v>0</v>
      </c>
      <c r="M67" s="151"/>
      <c r="N67" s="448"/>
      <c r="O67" s="448"/>
      <c r="P67" s="449"/>
      <c r="Q67" s="152"/>
      <c r="R67" s="134">
        <v>0</v>
      </c>
      <c r="S67" s="134">
        <v>0</v>
      </c>
      <c r="T67" s="134">
        <v>0</v>
      </c>
      <c r="U67" s="134">
        <v>0</v>
      </c>
      <c r="V67" s="134">
        <v>0</v>
      </c>
      <c r="W67" s="134">
        <v>0</v>
      </c>
      <c r="X67" s="134">
        <v>0</v>
      </c>
      <c r="Y67" s="304">
        <f t="shared" ref="Y67" si="26">SUM(R67:X67)</f>
        <v>0</v>
      </c>
      <c r="AK67" s="349"/>
      <c r="AL67" s="349"/>
    </row>
    <row r="68" spans="2:38" x14ac:dyDescent="0.25">
      <c r="B68" s="84"/>
      <c r="C68" s="23" t="s">
        <v>302</v>
      </c>
      <c r="D68" s="23" t="str">
        <f>Unit_Rates!G50</f>
        <v>Subtransmission</v>
      </c>
      <c r="E68" s="23" t="str">
        <f>Unit_Rates!H50</f>
        <v>Augmentation</v>
      </c>
      <c r="F68" s="23" t="str">
        <f t="shared" si="23"/>
        <v>SubtransmissionAugmentation</v>
      </c>
      <c r="G68" s="170">
        <f>Unit_Rates!$I$50</f>
        <v>131.39534883720927</v>
      </c>
      <c r="H68" s="171"/>
      <c r="I68" s="123" t="s">
        <v>294</v>
      </c>
      <c r="K68" s="172">
        <f>G68*H68</f>
        <v>0</v>
      </c>
      <c r="L68" s="172">
        <f t="shared" si="24"/>
        <v>0</v>
      </c>
      <c r="M68" s="151"/>
      <c r="N68" s="448"/>
      <c r="O68" s="448"/>
      <c r="P68" s="449"/>
      <c r="Q68" s="314">
        <f>P68-H68*VLOOKUP("Oil separator",Unit_Rates!$C$7:$E$51,3,FALSE)</f>
        <v>0</v>
      </c>
      <c r="R68" s="134">
        <v>0</v>
      </c>
      <c r="S68" s="134">
        <v>0</v>
      </c>
      <c r="T68" s="134">
        <v>0</v>
      </c>
      <c r="U68" s="134">
        <v>0</v>
      </c>
      <c r="V68" s="134">
        <v>0</v>
      </c>
      <c r="W68" s="134">
        <v>0</v>
      </c>
      <c r="X68" s="134">
        <v>0</v>
      </c>
      <c r="Y68" s="304">
        <f t="shared" si="25"/>
        <v>0</v>
      </c>
      <c r="AK68" s="349"/>
      <c r="AL68" s="349"/>
    </row>
    <row r="69" spans="2:38" x14ac:dyDescent="0.25">
      <c r="B69" s="84"/>
      <c r="C69" s="326" t="s">
        <v>303</v>
      </c>
      <c r="D69" t="s">
        <v>3</v>
      </c>
      <c r="E69" t="s">
        <v>27</v>
      </c>
      <c r="F69" s="23" t="str">
        <f t="shared" si="23"/>
        <v>SubtransmissionAugmentation</v>
      </c>
      <c r="G69" s="185">
        <v>0</v>
      </c>
      <c r="H69" s="171">
        <v>1</v>
      </c>
      <c r="I69" s="123" t="s">
        <v>294</v>
      </c>
      <c r="K69" s="172">
        <f>G69*H69</f>
        <v>0</v>
      </c>
      <c r="L69" s="172">
        <f t="shared" si="24"/>
        <v>0</v>
      </c>
      <c r="M69" s="151"/>
      <c r="N69" s="448"/>
      <c r="O69" s="448"/>
      <c r="P69" s="449"/>
      <c r="Q69" s="152"/>
      <c r="R69" s="134">
        <v>0</v>
      </c>
      <c r="S69" s="134">
        <v>0</v>
      </c>
      <c r="T69" s="134">
        <v>0</v>
      </c>
      <c r="U69" s="134">
        <v>0</v>
      </c>
      <c r="V69" s="134">
        <v>0</v>
      </c>
      <c r="W69" s="134">
        <v>0</v>
      </c>
      <c r="X69" s="134">
        <v>0</v>
      </c>
      <c r="Y69" s="304">
        <f t="shared" si="25"/>
        <v>0</v>
      </c>
      <c r="AK69" s="349"/>
      <c r="AL69" s="349"/>
    </row>
    <row r="70" spans="2:38" x14ac:dyDescent="0.25">
      <c r="B70" s="120" t="s">
        <v>304</v>
      </c>
      <c r="C70" s="326"/>
      <c r="D70" t="s">
        <v>3</v>
      </c>
      <c r="E70" t="s">
        <v>27</v>
      </c>
      <c r="F70" s="23" t="str">
        <f t="shared" si="23"/>
        <v>SubtransmissionAugmentation</v>
      </c>
      <c r="G70" s="170">
        <v>0</v>
      </c>
      <c r="H70" s="171">
        <v>1</v>
      </c>
      <c r="I70" s="123" t="s">
        <v>294</v>
      </c>
      <c r="K70" s="172">
        <f>G70*H70</f>
        <v>0</v>
      </c>
      <c r="L70" s="212">
        <f t="shared" si="24"/>
        <v>0</v>
      </c>
      <c r="M70" s="188"/>
      <c r="N70" s="448"/>
      <c r="O70" s="448"/>
      <c r="P70" s="449"/>
      <c r="Q70" s="152"/>
      <c r="R70" s="189"/>
      <c r="S70" s="189"/>
      <c r="T70" s="189"/>
      <c r="U70" s="189"/>
      <c r="V70" s="189"/>
      <c r="W70" s="189"/>
      <c r="X70" s="189"/>
      <c r="Y70" s="77"/>
      <c r="AK70" s="349"/>
      <c r="AL70" s="349"/>
    </row>
    <row r="71" spans="2:38" x14ac:dyDescent="0.25">
      <c r="B71" s="120" t="s">
        <v>305</v>
      </c>
      <c r="D71" t="s">
        <v>4</v>
      </c>
      <c r="E71" t="s">
        <v>29</v>
      </c>
      <c r="F71" s="23" t="str">
        <f t="shared" si="23"/>
        <v>LandNon-Network</v>
      </c>
      <c r="G71" s="170">
        <v>0</v>
      </c>
      <c r="H71" s="171"/>
      <c r="I71" s="123" t="s">
        <v>294</v>
      </c>
      <c r="K71" s="212">
        <v>0</v>
      </c>
      <c r="L71" s="212">
        <f t="shared" si="24"/>
        <v>0</v>
      </c>
      <c r="M71" s="188"/>
      <c r="N71" s="448"/>
      <c r="O71" s="448"/>
      <c r="P71" s="449"/>
      <c r="Q71" s="152"/>
      <c r="R71" s="134">
        <v>0</v>
      </c>
      <c r="S71" s="134">
        <v>0</v>
      </c>
      <c r="T71" s="134">
        <v>0</v>
      </c>
      <c r="U71" s="134">
        <v>0</v>
      </c>
      <c r="V71" s="134">
        <v>0</v>
      </c>
      <c r="W71" s="134">
        <v>0</v>
      </c>
      <c r="X71" s="134">
        <v>0</v>
      </c>
      <c r="Y71" s="304">
        <f t="shared" si="25"/>
        <v>0</v>
      </c>
      <c r="AK71" s="349"/>
      <c r="AL71" s="349"/>
    </row>
    <row r="72" spans="2:38" x14ac:dyDescent="0.25">
      <c r="B72" s="84"/>
      <c r="G72" s="169"/>
      <c r="H72" s="84"/>
      <c r="I72" s="167"/>
      <c r="K72" s="191"/>
      <c r="L72" s="191"/>
      <c r="M72" s="192"/>
      <c r="N72" s="192"/>
      <c r="O72" s="192"/>
      <c r="P72" s="192"/>
      <c r="X72" s="108"/>
      <c r="AK72" s="349"/>
      <c r="AL72" s="349"/>
    </row>
    <row r="73" spans="2:38" x14ac:dyDescent="0.25">
      <c r="B73" s="120" t="s">
        <v>306</v>
      </c>
      <c r="G73" s="169"/>
      <c r="H73" s="84"/>
      <c r="I73" s="167"/>
      <c r="K73" s="343">
        <v>3837.7455404014722</v>
      </c>
      <c r="L73" s="343">
        <v>653.95127669566045</v>
      </c>
      <c r="M73" s="344">
        <v>800</v>
      </c>
      <c r="N73" s="344">
        <v>3574.7334047304976</v>
      </c>
      <c r="O73" s="344">
        <v>74.641909391683441</v>
      </c>
      <c r="P73" s="344">
        <v>8941.0721312193127</v>
      </c>
      <c r="Q73" s="278">
        <f>SUM(P17:P69)</f>
        <v>0</v>
      </c>
      <c r="X73" s="108"/>
      <c r="AK73" s="349"/>
      <c r="AL73" s="349"/>
    </row>
    <row r="74" spans="2:38" x14ac:dyDescent="0.25">
      <c r="B74" s="195" t="s">
        <v>307</v>
      </c>
      <c r="C74" s="327"/>
      <c r="D74" s="102"/>
      <c r="E74" s="102"/>
      <c r="F74" s="102"/>
      <c r="G74" s="196"/>
      <c r="H74" s="195"/>
      <c r="I74" s="196"/>
      <c r="J74" s="102"/>
      <c r="K74" s="197">
        <v>0</v>
      </c>
      <c r="L74" s="198">
        <v>0</v>
      </c>
      <c r="M74" s="198">
        <v>0</v>
      </c>
      <c r="N74" s="198">
        <v>0</v>
      </c>
      <c r="O74" s="198">
        <v>0</v>
      </c>
      <c r="P74" s="199">
        <v>0</v>
      </c>
      <c r="X74" s="108"/>
      <c r="AK74" s="349"/>
      <c r="AL74" s="349"/>
    </row>
    <row r="75" spans="2:38" ht="30" x14ac:dyDescent="0.25">
      <c r="B75" s="143" t="s">
        <v>308</v>
      </c>
      <c r="C75" s="324"/>
      <c r="D75" s="117"/>
      <c r="E75" s="117"/>
      <c r="F75" s="117"/>
      <c r="G75" s="200" t="s">
        <v>309</v>
      </c>
      <c r="H75" s="310" t="s">
        <v>279</v>
      </c>
      <c r="I75" s="67" t="s">
        <v>280</v>
      </c>
      <c r="J75" s="102"/>
      <c r="K75" s="67" t="s">
        <v>21</v>
      </c>
      <c r="L75" s="67" t="s">
        <v>22</v>
      </c>
      <c r="M75" s="202" t="s">
        <v>23</v>
      </c>
      <c r="N75" s="202" t="s">
        <v>24</v>
      </c>
      <c r="O75" s="68" t="s">
        <v>25</v>
      </c>
      <c r="P75" s="68" t="s">
        <v>26</v>
      </c>
      <c r="X75" s="108"/>
      <c r="AK75" s="349"/>
      <c r="AL75" s="349"/>
    </row>
    <row r="76" spans="2:38" x14ac:dyDescent="0.25">
      <c r="B76" s="120"/>
      <c r="C76" s="305"/>
      <c r="G76" s="167"/>
      <c r="H76" s="84"/>
      <c r="I76" s="167"/>
      <c r="K76" s="203"/>
      <c r="L76" s="203"/>
      <c r="M76" s="204"/>
      <c r="N76" s="204"/>
      <c r="O76" s="204"/>
      <c r="P76" s="169"/>
      <c r="X76" s="108"/>
      <c r="AK76" s="349"/>
      <c r="AL76" s="349"/>
    </row>
    <row r="77" spans="2:38" x14ac:dyDescent="0.25">
      <c r="B77" s="312" t="s">
        <v>396</v>
      </c>
      <c r="G77" s="167"/>
      <c r="H77" s="84"/>
      <c r="I77" s="167"/>
      <c r="K77" s="203"/>
      <c r="L77" s="203"/>
      <c r="M77" s="204"/>
      <c r="N77" s="204"/>
      <c r="O77" s="204"/>
      <c r="P77" s="169"/>
      <c r="X77" s="108"/>
      <c r="Y77" s="77"/>
      <c r="AK77" s="349"/>
      <c r="AL77" s="349"/>
    </row>
    <row r="78" spans="2:38" x14ac:dyDescent="0.25">
      <c r="B78" s="333" t="s">
        <v>401</v>
      </c>
      <c r="G78" s="167"/>
      <c r="H78" s="84"/>
      <c r="I78" s="167"/>
      <c r="K78" s="203"/>
      <c r="L78" s="203"/>
      <c r="M78" s="204"/>
      <c r="N78" s="204"/>
      <c r="O78" s="204"/>
      <c r="P78" s="169"/>
      <c r="X78" s="108"/>
      <c r="Y78" s="77"/>
      <c r="AK78" s="349"/>
      <c r="AL78" s="349"/>
    </row>
    <row r="79" spans="2:38" x14ac:dyDescent="0.25">
      <c r="B79" s="315"/>
      <c r="C79" s="305" t="s">
        <v>387</v>
      </c>
      <c r="D79" s="23" t="str">
        <f>INDEX(Unit_Rates!$C$7:$K$113,MATCH($C79,Unit_Rates!$C$7:$C$113,0),5)</f>
        <v>Subtransmission</v>
      </c>
      <c r="E79" s="23" t="str">
        <f>INDEX(Unit_Rates!$C$7:$K$113,MATCH($C79,Unit_Rates!$C$7:$C$113,0),6)</f>
        <v>Augmentation</v>
      </c>
      <c r="F79" s="23" t="str">
        <f t="shared" ref="F79:F84" si="27">D79&amp;E79</f>
        <v>SubtransmissionAugmentation</v>
      </c>
      <c r="G79" s="170">
        <f>INDEX(Unit_Rates!$C$7:$K$113,MATCH($C79,Unit_Rates!$C$7:$C$113,0),7)</f>
        <v>5.4307692307692301</v>
      </c>
      <c r="H79" s="350"/>
      <c r="I79" s="308" t="s">
        <v>294</v>
      </c>
      <c r="J79" s="108"/>
      <c r="K79" s="170">
        <f>G79*H79</f>
        <v>0</v>
      </c>
      <c r="L79" s="170">
        <f t="shared" ref="L79:L85" si="28">SUMPRODUCT(R$5:X$5,R79:X79)/Thousands</f>
        <v>0</v>
      </c>
      <c r="M79" s="170"/>
      <c r="N79" s="446"/>
      <c r="O79" s="446"/>
      <c r="P79" s="446"/>
      <c r="Q79" s="314">
        <f>P79-H79*VLOOKUP(C79,Unit_Rates!$C$7:$E$113,3,FALSE)</f>
        <v>0</v>
      </c>
      <c r="R79" s="134">
        <v>0</v>
      </c>
      <c r="S79" s="134">
        <v>0</v>
      </c>
      <c r="T79" s="134">
        <v>0</v>
      </c>
      <c r="U79" s="134">
        <v>0</v>
      </c>
      <c r="V79" s="134">
        <v>0</v>
      </c>
      <c r="W79" s="134">
        <v>0</v>
      </c>
      <c r="X79" s="134">
        <v>0</v>
      </c>
      <c r="Y79" s="304">
        <f t="shared" ref="Y79:Y93" si="29">SUM(R79:X79)</f>
        <v>0</v>
      </c>
      <c r="Z79" s="6"/>
      <c r="AA79" s="6"/>
      <c r="AB79" s="6"/>
      <c r="AC79" s="6"/>
      <c r="AD79" s="6"/>
      <c r="AE79" s="6"/>
      <c r="AF79" s="6"/>
      <c r="AG79" s="8"/>
      <c r="AI79" s="96"/>
      <c r="AK79" s="349"/>
      <c r="AL79" s="349"/>
    </row>
    <row r="80" spans="2:38" x14ac:dyDescent="0.25">
      <c r="B80" s="315"/>
      <c r="C80" s="23" t="s">
        <v>372</v>
      </c>
      <c r="D80" s="23" t="str">
        <f>INDEX(Unit_Rates!$C$7:$K$113,MATCH($C80,Unit_Rates!$C$7:$C$113,0),5)</f>
        <v>Subtransmission</v>
      </c>
      <c r="E80" s="23" t="str">
        <f>INDEX(Unit_Rates!$C$7:$K$113,MATCH($C80,Unit_Rates!$C$7:$C$113,0),6)</f>
        <v>Augmentation</v>
      </c>
      <c r="F80" s="23" t="str">
        <f t="shared" si="27"/>
        <v>SubtransmissionAugmentation</v>
      </c>
      <c r="G80" s="170">
        <f>INDEX(Unit_Rates!$C$7:$K$113,MATCH($C80,Unit_Rates!$C$7:$C$113,0),7)</f>
        <v>0.40306153846153847</v>
      </c>
      <c r="H80" s="350"/>
      <c r="I80" s="308" t="s">
        <v>294</v>
      </c>
      <c r="J80" s="108"/>
      <c r="K80" s="170">
        <f>G80*H80</f>
        <v>0</v>
      </c>
      <c r="L80" s="170">
        <f t="shared" si="28"/>
        <v>0</v>
      </c>
      <c r="M80" s="170"/>
      <c r="N80" s="446"/>
      <c r="O80" s="446"/>
      <c r="P80" s="446"/>
      <c r="Q80" s="314">
        <f>P80-H80*VLOOKUP(C80,Unit_Rates!$C$7:$E$113,3,FALSE)</f>
        <v>0</v>
      </c>
      <c r="R80" s="134">
        <v>0</v>
      </c>
      <c r="S80" s="134">
        <v>0</v>
      </c>
      <c r="T80" s="134">
        <v>0</v>
      </c>
      <c r="U80" s="134">
        <v>0</v>
      </c>
      <c r="V80" s="134">
        <v>0</v>
      </c>
      <c r="W80" s="134">
        <v>0</v>
      </c>
      <c r="X80" s="134">
        <v>0</v>
      </c>
      <c r="Y80" s="304">
        <f t="shared" si="29"/>
        <v>0</v>
      </c>
      <c r="Z80" s="6"/>
      <c r="AA80" s="6"/>
      <c r="AB80" s="6"/>
      <c r="AC80" s="6"/>
      <c r="AD80" s="6"/>
      <c r="AE80" s="6"/>
      <c r="AF80" s="6"/>
      <c r="AG80" s="8"/>
      <c r="AI80" s="96"/>
      <c r="AK80" s="349"/>
      <c r="AL80" s="349"/>
    </row>
    <row r="81" spans="2:38" x14ac:dyDescent="0.25">
      <c r="B81" s="315"/>
      <c r="C81" s="329" t="s">
        <v>365</v>
      </c>
      <c r="D81" s="23" t="str">
        <f>INDEX(Unit_Rates!$C$7:$K$113,MATCH($C81,Unit_Rates!$C$7:$C$113,0),5)</f>
        <v>Subtransmission</v>
      </c>
      <c r="E81" s="23" t="str">
        <f>INDEX(Unit_Rates!$C$7:$K$113,MATCH($C81,Unit_Rates!$C$7:$C$113,0),6)</f>
        <v>Augmentation</v>
      </c>
      <c r="F81" s="23" t="str">
        <f>D81&amp;E81</f>
        <v>SubtransmissionAugmentation</v>
      </c>
      <c r="G81" s="170">
        <f>INDEX(Unit_Rates!$C$7:$K$113,MATCH($C81,Unit_Rates!$C$7:$C$113,0),7)</f>
        <v>15.18</v>
      </c>
      <c r="H81" s="350"/>
      <c r="I81" s="123" t="s">
        <v>362</v>
      </c>
      <c r="J81" s="108"/>
      <c r="K81" s="170">
        <f>G81*H81</f>
        <v>0</v>
      </c>
      <c r="L81" s="170">
        <f>SUMPRODUCT(R$5:X$5,R81:X81)/Thousands</f>
        <v>0</v>
      </c>
      <c r="M81" s="170"/>
      <c r="N81" s="446"/>
      <c r="O81" s="446"/>
      <c r="P81" s="446"/>
      <c r="Q81" s="314">
        <f>P81-H81*VLOOKUP(C81,Unit_Rates!$C$7:$E$113,3,FALSE)</f>
        <v>0</v>
      </c>
      <c r="R81" s="134">
        <v>0</v>
      </c>
      <c r="S81" s="134">
        <v>0</v>
      </c>
      <c r="T81" s="134">
        <v>0</v>
      </c>
      <c r="U81" s="134">
        <v>0</v>
      </c>
      <c r="V81" s="134">
        <v>0</v>
      </c>
      <c r="W81" s="134">
        <v>0</v>
      </c>
      <c r="X81" s="134">
        <v>0</v>
      </c>
      <c r="Y81" s="304">
        <f>SUM(R81:X81)</f>
        <v>0</v>
      </c>
      <c r="Z81" s="6"/>
      <c r="AA81" s="6"/>
      <c r="AB81" s="6"/>
      <c r="AC81" s="6"/>
      <c r="AD81" s="6"/>
      <c r="AE81" s="6"/>
      <c r="AF81" s="6"/>
      <c r="AG81" s="8"/>
      <c r="AI81" s="96"/>
      <c r="AK81" s="349"/>
      <c r="AL81" s="349"/>
    </row>
    <row r="82" spans="2:38" x14ac:dyDescent="0.25">
      <c r="B82" s="315"/>
      <c r="C82" s="23" t="s">
        <v>377</v>
      </c>
      <c r="D82" s="23" t="str">
        <f>INDEX(Unit_Rates!$C$7:$K$113,MATCH($C82,Unit_Rates!$C$7:$C$113,0),5)</f>
        <v>Distribution system assets</v>
      </c>
      <c r="E82" s="23" t="str">
        <f>INDEX(Unit_Rates!$C$7:$K$113,MATCH($C82,Unit_Rates!$C$7:$C$113,0),6)</f>
        <v>Augmentation</v>
      </c>
      <c r="F82" s="23" t="str">
        <f t="shared" si="27"/>
        <v>Distribution system assetsAugmentation</v>
      </c>
      <c r="G82" s="170">
        <f>INDEX(Unit_Rates!$C$7:$K$113,MATCH($C82,Unit_Rates!$C$7:$C$113,0),7)</f>
        <v>0.43615384615384611</v>
      </c>
      <c r="H82" s="350"/>
      <c r="I82" s="308" t="s">
        <v>294</v>
      </c>
      <c r="J82" s="108"/>
      <c r="K82" s="170">
        <f t="shared" ref="K82:K85" si="30">G82*H82</f>
        <v>0</v>
      </c>
      <c r="L82" s="170">
        <f t="shared" si="28"/>
        <v>0</v>
      </c>
      <c r="M82" s="170"/>
      <c r="N82" s="446"/>
      <c r="O82" s="446"/>
      <c r="P82" s="446"/>
      <c r="Q82" s="314">
        <f>P82-H82*VLOOKUP(C82,Unit_Rates!$C$7:$E$113,3,FALSE)</f>
        <v>0</v>
      </c>
      <c r="R82" s="134">
        <v>0</v>
      </c>
      <c r="S82" s="134">
        <v>0</v>
      </c>
      <c r="T82" s="134">
        <v>0</v>
      </c>
      <c r="U82" s="134">
        <v>0</v>
      </c>
      <c r="V82" s="134">
        <v>0</v>
      </c>
      <c r="W82" s="134">
        <v>0</v>
      </c>
      <c r="X82" s="134">
        <v>0</v>
      </c>
      <c r="Y82" s="304">
        <f t="shared" si="29"/>
        <v>0</v>
      </c>
      <c r="Z82" s="6"/>
      <c r="AA82" s="6"/>
      <c r="AB82" s="6"/>
      <c r="AC82" s="6"/>
      <c r="AD82" s="6"/>
      <c r="AE82" s="6"/>
      <c r="AF82" s="6"/>
      <c r="AG82" s="8"/>
      <c r="AI82" s="96"/>
      <c r="AK82" s="349"/>
      <c r="AL82" s="349"/>
    </row>
    <row r="83" spans="2:38" x14ac:dyDescent="0.25">
      <c r="B83" s="315"/>
      <c r="C83" s="305" t="s">
        <v>366</v>
      </c>
      <c r="D83" s="23" t="str">
        <f>INDEX(Unit_Rates!$C$7:$K$113,MATCH($C83,Unit_Rates!$C$7:$C$113,0),5)</f>
        <v>Distribution system assets</v>
      </c>
      <c r="E83" s="23" t="str">
        <f>INDEX(Unit_Rates!$C$7:$K$113,MATCH($C83,Unit_Rates!$C$7:$C$113,0),6)</f>
        <v>Augmentation</v>
      </c>
      <c r="F83" s="23" t="str">
        <f>D83&amp;E83</f>
        <v>Distribution system assetsAugmentation</v>
      </c>
      <c r="G83" s="170">
        <f>INDEX(Unit_Rates!$C$7:$K$113,MATCH($C83,Unit_Rates!$C$7:$C$113,0),7)</f>
        <v>6.7847700000000009</v>
      </c>
      <c r="H83" s="350"/>
      <c r="I83" s="123" t="s">
        <v>362</v>
      </c>
      <c r="J83" s="108"/>
      <c r="K83" s="170">
        <f>G83*H83</f>
        <v>0</v>
      </c>
      <c r="L83" s="170">
        <f>SUMPRODUCT(R$5:X$5,R83:X83)/Thousands</f>
        <v>0</v>
      </c>
      <c r="M83" s="170"/>
      <c r="N83" s="446"/>
      <c r="O83" s="446"/>
      <c r="P83" s="446"/>
      <c r="Q83" s="314">
        <f>P83-H83*VLOOKUP(C83,Unit_Rates!$C$7:$E$113,3,FALSE)</f>
        <v>0</v>
      </c>
      <c r="R83" s="134">
        <v>0</v>
      </c>
      <c r="S83" s="134">
        <v>0</v>
      </c>
      <c r="T83" s="134">
        <v>0</v>
      </c>
      <c r="U83" s="134">
        <v>0</v>
      </c>
      <c r="V83" s="134">
        <v>0</v>
      </c>
      <c r="W83" s="134">
        <v>0</v>
      </c>
      <c r="X83" s="134">
        <v>0</v>
      </c>
      <c r="Y83" s="304">
        <f>SUM(R83:X83)</f>
        <v>0</v>
      </c>
      <c r="Z83" s="6"/>
      <c r="AA83" s="6"/>
      <c r="AB83" s="6"/>
      <c r="AC83" s="6"/>
      <c r="AD83" s="6"/>
      <c r="AE83" s="6"/>
      <c r="AF83" s="6"/>
      <c r="AG83" s="8"/>
      <c r="AI83" s="97"/>
      <c r="AK83" s="349"/>
      <c r="AL83" s="349"/>
    </row>
    <row r="84" spans="2:38" x14ac:dyDescent="0.25">
      <c r="B84" s="315"/>
      <c r="C84" s="305" t="s">
        <v>363</v>
      </c>
      <c r="D84" s="23" t="str">
        <f>INDEX(Unit_Rates!$C$7:$K$113,MATCH($C84,Unit_Rates!$C$7:$C$113,0),5)</f>
        <v>Subtransmission</v>
      </c>
      <c r="E84" s="23" t="str">
        <f>INDEX(Unit_Rates!$C$7:$K$113,MATCH($C84,Unit_Rates!$C$7:$C$113,0),6)</f>
        <v>Augmentation</v>
      </c>
      <c r="F84" s="23" t="str">
        <f t="shared" si="27"/>
        <v>SubtransmissionAugmentation</v>
      </c>
      <c r="G84" s="170">
        <f>INDEX(Unit_Rates!$C$7:$K$113,MATCH($C84,Unit_Rates!$C$7:$C$113,0),7)</f>
        <v>0.24562</v>
      </c>
      <c r="H84" s="350"/>
      <c r="I84" s="308" t="s">
        <v>294</v>
      </c>
      <c r="J84" s="108"/>
      <c r="K84" s="170">
        <f t="shared" si="30"/>
        <v>0</v>
      </c>
      <c r="L84" s="170">
        <f t="shared" si="28"/>
        <v>0</v>
      </c>
      <c r="M84" s="170"/>
      <c r="N84" s="446"/>
      <c r="O84" s="446"/>
      <c r="P84" s="446"/>
      <c r="Q84" s="314">
        <f>P84-H84*VLOOKUP(C84,Unit_Rates!$C$7:$E$113,3,FALSE)</f>
        <v>0</v>
      </c>
      <c r="R84" s="134">
        <v>0</v>
      </c>
      <c r="S84" s="134">
        <v>0</v>
      </c>
      <c r="T84" s="134">
        <v>0</v>
      </c>
      <c r="U84" s="134">
        <v>0</v>
      </c>
      <c r="V84" s="134">
        <v>0</v>
      </c>
      <c r="W84" s="134">
        <v>0</v>
      </c>
      <c r="X84" s="134">
        <v>0</v>
      </c>
      <c r="Y84" s="304">
        <f t="shared" si="29"/>
        <v>0</v>
      </c>
      <c r="Z84" s="6"/>
      <c r="AA84" s="6"/>
      <c r="AB84" s="6"/>
      <c r="AC84" s="6"/>
      <c r="AD84" s="6"/>
      <c r="AE84" s="6"/>
      <c r="AF84" s="6"/>
      <c r="AG84" s="8"/>
      <c r="AI84" s="97"/>
      <c r="AK84" s="349"/>
      <c r="AL84" s="349"/>
    </row>
    <row r="85" spans="2:38" x14ac:dyDescent="0.25">
      <c r="B85" s="315"/>
      <c r="C85" s="305" t="s">
        <v>364</v>
      </c>
      <c r="D85" t="s">
        <v>3</v>
      </c>
      <c r="E85" t="s">
        <v>27</v>
      </c>
      <c r="F85" t="s">
        <v>30</v>
      </c>
      <c r="G85" s="170">
        <f>INDEX(Unit_Rates!$C$7:$K$113,MATCH($C85,Unit_Rates!$C$7:$C$113,0),7)</f>
        <v>0</v>
      </c>
      <c r="H85" s="350"/>
      <c r="I85" s="308" t="s">
        <v>362</v>
      </c>
      <c r="J85" s="108"/>
      <c r="K85" s="170">
        <f t="shared" si="30"/>
        <v>0</v>
      </c>
      <c r="L85" s="170">
        <f t="shared" si="28"/>
        <v>0</v>
      </c>
      <c r="M85" s="170"/>
      <c r="N85" s="446"/>
      <c r="O85" s="446"/>
      <c r="P85" s="446"/>
      <c r="Q85" s="152"/>
      <c r="R85" s="134">
        <v>0</v>
      </c>
      <c r="S85" s="134">
        <v>0</v>
      </c>
      <c r="T85" s="134">
        <v>0</v>
      </c>
      <c r="U85" s="134">
        <v>0</v>
      </c>
      <c r="V85" s="134">
        <v>0</v>
      </c>
      <c r="W85" s="134">
        <f>40*H85</f>
        <v>0</v>
      </c>
      <c r="X85" s="134">
        <v>0</v>
      </c>
      <c r="Y85" s="304">
        <f t="shared" si="29"/>
        <v>0</v>
      </c>
      <c r="Z85" s="6"/>
      <c r="AA85" s="6"/>
      <c r="AB85" s="6"/>
      <c r="AC85" s="6"/>
      <c r="AD85" s="6"/>
      <c r="AE85" s="6"/>
      <c r="AF85" s="6"/>
      <c r="AI85" s="97"/>
      <c r="AK85" s="349"/>
      <c r="AL85" s="349"/>
    </row>
    <row r="86" spans="2:38" x14ac:dyDescent="0.25">
      <c r="B86" s="334" t="s">
        <v>400</v>
      </c>
      <c r="G86" s="170"/>
      <c r="H86" s="313"/>
      <c r="I86" s="123"/>
      <c r="J86" s="108"/>
      <c r="K86" s="170"/>
      <c r="L86" s="170"/>
      <c r="M86" s="170"/>
      <c r="N86" s="170"/>
      <c r="O86" s="170"/>
      <c r="P86" s="170"/>
      <c r="Q86" s="208"/>
      <c r="R86" s="189"/>
      <c r="S86" s="189"/>
      <c r="T86" s="189"/>
      <c r="U86" s="189"/>
      <c r="V86" s="189"/>
      <c r="W86" s="189"/>
      <c r="X86" s="189"/>
      <c r="Y86" s="304"/>
      <c r="Z86" s="6"/>
      <c r="AA86" s="6"/>
      <c r="AB86" s="6"/>
      <c r="AC86" s="6"/>
      <c r="AD86" s="6"/>
      <c r="AE86" s="6"/>
      <c r="AF86" s="6"/>
      <c r="AG86" s="8"/>
      <c r="AI86" s="97"/>
      <c r="AK86" s="349"/>
      <c r="AL86" s="349"/>
    </row>
    <row r="87" spans="2:38" x14ac:dyDescent="0.25">
      <c r="B87" s="315"/>
      <c r="C87" s="23" t="s">
        <v>372</v>
      </c>
      <c r="D87" s="23" t="str">
        <f>INDEX(Unit_Rates!$C$7:$K$113,MATCH($C87,Unit_Rates!$C$7:$C$113,0),5)</f>
        <v>Subtransmission</v>
      </c>
      <c r="E87" s="23" t="str">
        <f>INDEX(Unit_Rates!$C$7:$K$113,MATCH($C87,Unit_Rates!$C$7:$C$113,0),6)</f>
        <v>Augmentation</v>
      </c>
      <c r="F87" s="23" t="str">
        <f t="shared" ref="F87" si="31">D87&amp;E87</f>
        <v>SubtransmissionAugmentation</v>
      </c>
      <c r="G87" s="170">
        <f>INDEX(Unit_Rates!$C$7:$K$113,MATCH($C87,Unit_Rates!$C$7:$C$113,0),7)</f>
        <v>0.40306153846153847</v>
      </c>
      <c r="H87" s="350"/>
      <c r="I87" s="308" t="s">
        <v>294</v>
      </c>
      <c r="J87" s="108"/>
      <c r="K87" s="170">
        <f>G87*H87</f>
        <v>0</v>
      </c>
      <c r="L87" s="170">
        <f t="shared" ref="L87:L88" si="32">SUMPRODUCT(R$5:X$5,R87:X87)/Thousands</f>
        <v>0</v>
      </c>
      <c r="M87" s="170"/>
      <c r="N87" s="446"/>
      <c r="O87" s="446"/>
      <c r="P87" s="446"/>
      <c r="Q87" s="314">
        <f>P87-H87*VLOOKUP(C87,Unit_Rates!$C$7:$E$113,3,FALSE)</f>
        <v>0</v>
      </c>
      <c r="R87" s="134">
        <v>0</v>
      </c>
      <c r="S87" s="134">
        <v>0</v>
      </c>
      <c r="T87" s="134">
        <v>0</v>
      </c>
      <c r="U87" s="134">
        <v>0</v>
      </c>
      <c r="V87" s="134">
        <v>0</v>
      </c>
      <c r="W87" s="134">
        <v>0</v>
      </c>
      <c r="X87" s="134">
        <v>0</v>
      </c>
      <c r="Y87" s="304">
        <f t="shared" si="29"/>
        <v>0</v>
      </c>
      <c r="Z87" s="6"/>
      <c r="AA87" s="6"/>
      <c r="AB87" s="6"/>
      <c r="AC87" s="6"/>
      <c r="AD87" s="6"/>
      <c r="AE87" s="6"/>
      <c r="AF87" s="6"/>
      <c r="AG87" s="8"/>
      <c r="AI87" s="97"/>
      <c r="AK87" s="349"/>
      <c r="AL87" s="349"/>
    </row>
    <row r="88" spans="2:38" x14ac:dyDescent="0.25">
      <c r="B88" s="315"/>
      <c r="C88" s="305" t="s">
        <v>364</v>
      </c>
      <c r="D88" t="s">
        <v>3</v>
      </c>
      <c r="E88" t="s">
        <v>27</v>
      </c>
      <c r="F88" t="s">
        <v>30</v>
      </c>
      <c r="G88" s="170">
        <f>INDEX(Unit_Rates!$C$7:$K$113,MATCH($C88,Unit_Rates!$C$7:$C$113,0),7)</f>
        <v>0</v>
      </c>
      <c r="H88" s="350"/>
      <c r="I88" s="308" t="s">
        <v>362</v>
      </c>
      <c r="J88" s="108"/>
      <c r="K88" s="170">
        <f t="shared" ref="K88" si="33">G88*H88</f>
        <v>0</v>
      </c>
      <c r="L88" s="170">
        <f t="shared" si="32"/>
        <v>0</v>
      </c>
      <c r="M88" s="170"/>
      <c r="N88" s="446"/>
      <c r="O88" s="446"/>
      <c r="P88" s="446"/>
      <c r="Q88" s="314">
        <f>P88-H88*VLOOKUP(C88,Unit_Rates!$C$7:$E$113,3,FALSE)</f>
        <v>0</v>
      </c>
      <c r="R88" s="134">
        <v>0</v>
      </c>
      <c r="S88" s="134">
        <v>0</v>
      </c>
      <c r="T88" s="134">
        <v>0</v>
      </c>
      <c r="U88" s="134">
        <v>0</v>
      </c>
      <c r="V88" s="134">
        <v>0</v>
      </c>
      <c r="W88" s="134">
        <v>0</v>
      </c>
      <c r="X88" s="134">
        <v>0</v>
      </c>
      <c r="Y88" s="304">
        <f t="shared" si="29"/>
        <v>0</v>
      </c>
      <c r="Z88" s="6"/>
      <c r="AA88" s="6"/>
      <c r="AB88" s="6"/>
      <c r="AC88" s="6"/>
      <c r="AD88" s="6"/>
      <c r="AE88" s="6"/>
      <c r="AF88" s="6"/>
      <c r="AG88" s="8"/>
      <c r="AI88" s="97"/>
      <c r="AK88" s="349"/>
      <c r="AL88" s="349"/>
    </row>
    <row r="89" spans="2:38" x14ac:dyDescent="0.25">
      <c r="B89" s="335" t="s">
        <v>399</v>
      </c>
      <c r="G89" s="170"/>
      <c r="H89" s="313"/>
      <c r="I89" s="308"/>
      <c r="J89" s="108"/>
      <c r="K89" s="170"/>
      <c r="L89" s="170"/>
      <c r="M89" s="170"/>
      <c r="N89" s="446"/>
      <c r="O89" s="446"/>
      <c r="P89" s="446"/>
      <c r="Q89" s="152"/>
      <c r="R89" s="189"/>
      <c r="S89" s="189"/>
      <c r="T89" s="189"/>
      <c r="U89" s="189"/>
      <c r="V89" s="189"/>
      <c r="W89" s="189"/>
      <c r="X89" s="189"/>
      <c r="Y89" s="304"/>
      <c r="Z89" s="6"/>
      <c r="AA89" s="6"/>
      <c r="AB89" s="6"/>
      <c r="AC89" s="6"/>
      <c r="AD89" s="6"/>
      <c r="AE89" s="6"/>
      <c r="AF89" s="6"/>
      <c r="AG89" s="8"/>
      <c r="AI89" s="97"/>
      <c r="AK89" s="349"/>
      <c r="AL89" s="349"/>
    </row>
    <row r="90" spans="2:38" x14ac:dyDescent="0.25">
      <c r="B90" s="315"/>
      <c r="C90" s="305" t="s">
        <v>390</v>
      </c>
      <c r="D90" s="23" t="str">
        <f>INDEX(Unit_Rates!$C$7:$K$113,MATCH($C90,Unit_Rates!$C$7:$C$113,0),5)</f>
        <v>Subtransmission</v>
      </c>
      <c r="E90" s="23" t="str">
        <f>INDEX(Unit_Rates!$C$7:$K$113,MATCH($C90,Unit_Rates!$C$7:$C$113,0),6)</f>
        <v>Augmentation</v>
      </c>
      <c r="F90" s="23" t="str">
        <f t="shared" ref="F90:F93" si="34">D90&amp;E90</f>
        <v>SubtransmissionAugmentation</v>
      </c>
      <c r="G90" s="170">
        <f>INDEX(Unit_Rates!$C$7:$K$113,MATCH($C90,Unit_Rates!$C$7:$C$113,0),7)</f>
        <v>8.7200000000000006</v>
      </c>
      <c r="H90" s="350"/>
      <c r="I90" s="123" t="s">
        <v>362</v>
      </c>
      <c r="J90" s="108"/>
      <c r="K90" s="170">
        <f t="shared" ref="K90:K93" si="35">G90*H90</f>
        <v>0</v>
      </c>
      <c r="L90" s="170">
        <f t="shared" ref="L90:L93" si="36">SUMPRODUCT(R$5:X$5,R90:X90)/Thousands</f>
        <v>0</v>
      </c>
      <c r="M90" s="170"/>
      <c r="N90" s="446"/>
      <c r="O90" s="446"/>
      <c r="P90" s="446"/>
      <c r="Q90" s="152"/>
      <c r="R90" s="134">
        <v>0</v>
      </c>
      <c r="S90" s="134">
        <v>0</v>
      </c>
      <c r="T90" s="134">
        <v>0</v>
      </c>
      <c r="U90" s="134">
        <v>0</v>
      </c>
      <c r="V90" s="134">
        <v>0</v>
      </c>
      <c r="W90" s="134">
        <f>8*H90</f>
        <v>0</v>
      </c>
      <c r="X90" s="134">
        <v>0</v>
      </c>
      <c r="Y90" s="304">
        <f t="shared" si="29"/>
        <v>0</v>
      </c>
      <c r="Z90" s="6"/>
      <c r="AA90" s="6"/>
      <c r="AB90" s="6"/>
      <c r="AC90" s="6"/>
      <c r="AD90" s="6"/>
      <c r="AE90" s="6"/>
      <c r="AF90" s="6"/>
      <c r="AG90" s="8"/>
      <c r="AI90" s="97"/>
      <c r="AK90" s="349"/>
      <c r="AL90" s="349"/>
    </row>
    <row r="91" spans="2:38" x14ac:dyDescent="0.25">
      <c r="B91" s="315"/>
      <c r="C91" s="305" t="s">
        <v>367</v>
      </c>
      <c r="D91" s="23" t="str">
        <f>INDEX(Unit_Rates!$C$7:$K$113,MATCH($C91,Unit_Rates!$C$7:$C$113,0),5)</f>
        <v>Subtransmission</v>
      </c>
      <c r="E91" s="23" t="str">
        <f>INDEX(Unit_Rates!$C$7:$K$113,MATCH($C91,Unit_Rates!$C$7:$C$113,0),6)</f>
        <v>Augmentation</v>
      </c>
      <c r="F91" s="23" t="str">
        <f t="shared" si="34"/>
        <v>SubtransmissionAugmentation</v>
      </c>
      <c r="G91" s="170">
        <f>INDEX(Unit_Rates!$C$7:$K$113,MATCH($C91,Unit_Rates!$C$7:$C$113,0),7)</f>
        <v>6.7949999999999999</v>
      </c>
      <c r="H91" s="350"/>
      <c r="I91" s="123" t="s">
        <v>294</v>
      </c>
      <c r="J91" s="108"/>
      <c r="K91" s="170">
        <f t="shared" si="35"/>
        <v>0</v>
      </c>
      <c r="L91" s="170">
        <f t="shared" si="36"/>
        <v>0</v>
      </c>
      <c r="M91" s="170"/>
      <c r="N91" s="446"/>
      <c r="O91" s="446"/>
      <c r="P91" s="446"/>
      <c r="Q91" s="314">
        <f>P91-H91*VLOOKUP(C91,Unit_Rates!$C$7:$E$113,3,FALSE)</f>
        <v>0</v>
      </c>
      <c r="R91" s="134">
        <v>0</v>
      </c>
      <c r="S91" s="134">
        <v>0</v>
      </c>
      <c r="T91" s="134">
        <v>0</v>
      </c>
      <c r="U91" s="134">
        <v>0</v>
      </c>
      <c r="V91" s="134">
        <v>0</v>
      </c>
      <c r="W91" s="134">
        <v>0</v>
      </c>
      <c r="X91" s="134">
        <v>0</v>
      </c>
      <c r="Y91" s="304">
        <f t="shared" si="29"/>
        <v>0</v>
      </c>
      <c r="Z91" s="6"/>
      <c r="AA91" s="6"/>
      <c r="AB91" s="6"/>
      <c r="AC91" s="6"/>
      <c r="AD91" s="6"/>
      <c r="AE91" s="6"/>
      <c r="AF91" s="6"/>
      <c r="AG91" s="8"/>
      <c r="AI91" s="97"/>
      <c r="AK91" s="349"/>
      <c r="AL91" s="349"/>
    </row>
    <row r="92" spans="2:38" x14ac:dyDescent="0.25">
      <c r="B92" s="335" t="s">
        <v>398</v>
      </c>
      <c r="C92" s="305"/>
      <c r="D92" s="23"/>
      <c r="E92" s="23"/>
      <c r="F92" s="23"/>
      <c r="G92" s="170"/>
      <c r="H92" s="313"/>
      <c r="I92" s="308"/>
      <c r="J92" s="305"/>
      <c r="K92" s="170"/>
      <c r="L92" s="170"/>
      <c r="M92" s="170"/>
      <c r="N92" s="170"/>
      <c r="O92" s="170"/>
      <c r="P92" s="170"/>
      <c r="Q92" s="314"/>
      <c r="R92" s="189"/>
      <c r="S92" s="189"/>
      <c r="T92" s="189"/>
      <c r="U92" s="189"/>
      <c r="V92" s="189"/>
      <c r="W92" s="189"/>
      <c r="X92" s="189"/>
      <c r="Y92" s="77"/>
      <c r="Z92" s="6"/>
      <c r="AA92" s="6"/>
      <c r="AB92" s="6"/>
      <c r="AC92" s="6"/>
      <c r="AD92" s="6"/>
      <c r="AE92" s="6"/>
      <c r="AF92" s="6"/>
      <c r="AG92" s="8"/>
      <c r="AI92" s="97"/>
      <c r="AK92" s="349"/>
      <c r="AL92" s="349"/>
    </row>
    <row r="93" spans="2:38" x14ac:dyDescent="0.25">
      <c r="B93" s="120"/>
      <c r="C93" s="305" t="s">
        <v>391</v>
      </c>
      <c r="D93" s="23" t="str">
        <f>INDEX(Unit_Rates!$C$7:$K$113,MATCH($C93,Unit_Rates!$C$7:$C$113,0),5)</f>
        <v>Subtransmission</v>
      </c>
      <c r="E93" s="23" t="str">
        <f>INDEX(Unit_Rates!$C$7:$K$113,MATCH($C93,Unit_Rates!$C$7:$C$113,0),6)</f>
        <v>Augmentation</v>
      </c>
      <c r="F93" s="23" t="str">
        <f t="shared" si="34"/>
        <v>SubtransmissionAugmentation</v>
      </c>
      <c r="G93" s="170">
        <f>INDEX(Unit_Rates!$C$7:$K$113,MATCH($C93,Unit_Rates!$C$7:$C$113,0),7)</f>
        <v>0</v>
      </c>
      <c r="H93" s="350"/>
      <c r="I93" s="123" t="s">
        <v>362</v>
      </c>
      <c r="J93" s="108"/>
      <c r="K93" s="211">
        <f t="shared" si="35"/>
        <v>0</v>
      </c>
      <c r="L93" s="211">
        <f t="shared" si="36"/>
        <v>0</v>
      </c>
      <c r="M93" s="211"/>
      <c r="N93" s="447"/>
      <c r="O93" s="447"/>
      <c r="P93" s="447"/>
      <c r="Q93" s="314">
        <f>P93-H93*VLOOKUP(C93,Unit_Rates!$C$7:$E$113,3,FALSE)</f>
        <v>0</v>
      </c>
      <c r="R93" s="134">
        <v>0</v>
      </c>
      <c r="S93" s="134">
        <v>0</v>
      </c>
      <c r="T93" s="134">
        <v>0</v>
      </c>
      <c r="U93" s="134">
        <v>0</v>
      </c>
      <c r="V93" s="134">
        <v>0</v>
      </c>
      <c r="W93" s="134">
        <v>0</v>
      </c>
      <c r="X93" s="134">
        <v>0</v>
      </c>
      <c r="Y93" s="304">
        <f t="shared" si="29"/>
        <v>0</v>
      </c>
      <c r="Z93" s="6"/>
      <c r="AA93" s="6"/>
      <c r="AB93" s="6"/>
      <c r="AC93" s="6"/>
      <c r="AD93" s="6"/>
      <c r="AE93" s="6"/>
      <c r="AF93" s="6"/>
      <c r="AG93" s="8"/>
      <c r="AI93" s="97"/>
      <c r="AK93" s="349"/>
      <c r="AL93" s="349"/>
    </row>
    <row r="94" spans="2:38" x14ac:dyDescent="0.25">
      <c r="B94" s="120"/>
      <c r="C94" s="23" t="s">
        <v>404</v>
      </c>
      <c r="G94" s="212"/>
      <c r="H94" s="122"/>
      <c r="I94" s="167"/>
      <c r="K94" s="212">
        <v>0</v>
      </c>
      <c r="L94" s="212">
        <v>0</v>
      </c>
      <c r="M94" s="170">
        <v>0</v>
      </c>
      <c r="N94" s="170">
        <v>0</v>
      </c>
      <c r="O94" s="170">
        <v>0</v>
      </c>
      <c r="P94" s="170">
        <v>0</v>
      </c>
      <c r="Q94" s="163"/>
      <c r="R94" s="127"/>
      <c r="S94" s="127"/>
      <c r="T94" s="127"/>
      <c r="U94" s="127"/>
      <c r="V94" s="127"/>
      <c r="W94" s="127"/>
      <c r="X94" s="127"/>
      <c r="AI94" s="97"/>
      <c r="AK94" s="349"/>
      <c r="AL94" s="349"/>
    </row>
    <row r="95" spans="2:38" x14ac:dyDescent="0.25">
      <c r="B95" s="120"/>
      <c r="G95" s="166"/>
      <c r="H95" s="122"/>
      <c r="I95" s="167"/>
      <c r="K95" s="212"/>
      <c r="L95" s="212"/>
      <c r="M95" s="170"/>
      <c r="N95" s="170"/>
      <c r="O95" s="170"/>
      <c r="P95" s="170"/>
      <c r="R95" s="127"/>
      <c r="S95" s="127"/>
      <c r="T95" s="127"/>
      <c r="U95" s="127"/>
      <c r="V95" s="127"/>
      <c r="W95" s="127"/>
      <c r="X95" s="127"/>
      <c r="AI95" s="97"/>
      <c r="AK95" s="349"/>
      <c r="AL95" s="349"/>
    </row>
    <row r="96" spans="2:38" x14ac:dyDescent="0.25">
      <c r="B96" s="312" t="s">
        <v>369</v>
      </c>
      <c r="G96" s="166"/>
      <c r="H96" s="122"/>
      <c r="I96" s="167"/>
      <c r="K96" s="212"/>
      <c r="L96" s="212"/>
      <c r="M96" s="170"/>
      <c r="N96" s="170"/>
      <c r="O96" s="170"/>
      <c r="P96" s="170"/>
      <c r="R96" s="127"/>
      <c r="S96" s="127"/>
      <c r="T96" s="127"/>
      <c r="U96" s="127"/>
      <c r="V96" s="127"/>
      <c r="W96" s="127"/>
      <c r="X96" s="127"/>
      <c r="Y96" s="77"/>
      <c r="Z96" s="6"/>
      <c r="AA96" s="6"/>
      <c r="AB96" s="6"/>
      <c r="AC96" s="6"/>
      <c r="AD96" s="6"/>
      <c r="AE96" s="6"/>
      <c r="AF96" s="6"/>
      <c r="AG96" s="8"/>
      <c r="AI96" s="97"/>
      <c r="AK96" s="349"/>
      <c r="AL96" s="349"/>
    </row>
    <row r="97" spans="2:38" x14ac:dyDescent="0.25">
      <c r="B97" s="335" t="s">
        <v>376</v>
      </c>
      <c r="G97" s="170"/>
      <c r="H97" s="306"/>
      <c r="I97" s="123"/>
      <c r="K97" s="212"/>
      <c r="L97" s="212"/>
      <c r="M97" s="170"/>
      <c r="N97" s="170"/>
      <c r="O97" s="170"/>
      <c r="P97" s="170"/>
      <c r="Q97" s="163"/>
      <c r="R97" s="189"/>
      <c r="S97" s="189"/>
      <c r="T97" s="189"/>
      <c r="U97" s="189"/>
      <c r="V97" s="189"/>
      <c r="W97" s="189"/>
      <c r="X97" s="189"/>
      <c r="Y97" s="77"/>
      <c r="Z97" s="6"/>
      <c r="AA97" s="6"/>
      <c r="AB97" s="6"/>
      <c r="AC97" s="6"/>
      <c r="AD97" s="6"/>
      <c r="AE97" s="6"/>
      <c r="AF97" s="6"/>
      <c r="AG97" s="8"/>
      <c r="AI97" s="97"/>
      <c r="AK97" s="349"/>
      <c r="AL97" s="349"/>
    </row>
    <row r="98" spans="2:38" x14ac:dyDescent="0.25">
      <c r="B98" s="120"/>
      <c r="C98" s="305" t="s">
        <v>373</v>
      </c>
      <c r="D98" s="23" t="str">
        <f>Unit_Rates!G137</f>
        <v>Distribution system assets</v>
      </c>
      <c r="E98" t="s">
        <v>27</v>
      </c>
      <c r="F98" s="23" t="str">
        <f t="shared" ref="F98:F101" si="37">D98&amp;E98</f>
        <v>Distribution system assetsAugmentation</v>
      </c>
      <c r="G98" s="170">
        <f>Unit_Rates!I137</f>
        <v>0.37850311702696687</v>
      </c>
      <c r="H98" s="345"/>
      <c r="I98" s="123" t="s">
        <v>294</v>
      </c>
      <c r="K98" s="212">
        <f t="shared" ref="K98:K101" si="38">G98*H98</f>
        <v>0</v>
      </c>
      <c r="L98" s="212">
        <f>SUMPRODUCT(R$5:X$5,R98:X98)/Thousands</f>
        <v>0</v>
      </c>
      <c r="M98" s="170">
        <f>$H98*Unit_Rates!K137</f>
        <v>0</v>
      </c>
      <c r="N98" s="446"/>
      <c r="O98" s="446"/>
      <c r="P98" s="446"/>
      <c r="Q98" s="314">
        <f>P98-H98*Unit_Rates!$E$137</f>
        <v>0</v>
      </c>
      <c r="R98" s="346">
        <f t="shared" ref="R98:X98" si="39">$AI98*Z98*$H98</f>
        <v>0</v>
      </c>
      <c r="S98" s="346">
        <f t="shared" si="39"/>
        <v>0</v>
      </c>
      <c r="T98" s="346">
        <f t="shared" si="39"/>
        <v>0</v>
      </c>
      <c r="U98" s="346">
        <f t="shared" si="39"/>
        <v>0</v>
      </c>
      <c r="V98" s="346">
        <f t="shared" si="39"/>
        <v>0</v>
      </c>
      <c r="W98" s="346">
        <f t="shared" si="39"/>
        <v>0</v>
      </c>
      <c r="X98" s="346">
        <f t="shared" si="39"/>
        <v>0</v>
      </c>
      <c r="Y98" s="304">
        <f t="shared" ref="Y98" si="40">SUM(R98:X98)</f>
        <v>0</v>
      </c>
      <c r="Z98" s="283">
        <v>2.5727805595989302E-2</v>
      </c>
      <c r="AA98" s="283">
        <v>0</v>
      </c>
      <c r="AB98" s="283">
        <v>0.32115728206047139</v>
      </c>
      <c r="AC98" s="283">
        <v>0</v>
      </c>
      <c r="AD98" s="283">
        <v>0</v>
      </c>
      <c r="AE98" s="283">
        <v>0</v>
      </c>
      <c r="AF98" s="283">
        <v>0.65311491234353936</v>
      </c>
      <c r="AG98" s="281">
        <f>SUM(Z98:AF98)</f>
        <v>1</v>
      </c>
      <c r="AH98" s="23" t="b">
        <f>AG98=1</f>
        <v>1</v>
      </c>
      <c r="AI98" s="96">
        <v>1.08</v>
      </c>
      <c r="AK98" s="349"/>
      <c r="AL98" s="349"/>
    </row>
    <row r="99" spans="2:38" x14ac:dyDescent="0.25">
      <c r="B99" s="120"/>
      <c r="C99" s="305" t="s">
        <v>374</v>
      </c>
      <c r="D99" s="23" t="str">
        <f>Unit_Rates!G138</f>
        <v>Distribution system assets</v>
      </c>
      <c r="E99" t="s">
        <v>27</v>
      </c>
      <c r="F99" s="23" t="str">
        <f t="shared" si="37"/>
        <v>Distribution system assetsAugmentation</v>
      </c>
      <c r="G99" s="170">
        <f>INDEX(Unit_Rates!$C$7:$K$113,MATCH($C99,Unit_Rates!$C$7:$C$113,0),7)</f>
        <v>15.42</v>
      </c>
      <c r="H99" s="345"/>
      <c r="I99" s="123" t="s">
        <v>294</v>
      </c>
      <c r="K99" s="212">
        <f t="shared" si="38"/>
        <v>0</v>
      </c>
      <c r="L99" s="212">
        <f>SUMPRODUCT(R$5:X$5,R99:X99)/Thousands</f>
        <v>0</v>
      </c>
      <c r="M99" s="170"/>
      <c r="N99" s="446"/>
      <c r="O99" s="446"/>
      <c r="P99" s="446"/>
      <c r="Q99" s="314">
        <f>P99-H99*VLOOKUP(C99,Unit_Rates!$C$7:$E$113,3,FALSE)</f>
        <v>0</v>
      </c>
      <c r="R99" s="134">
        <v>0</v>
      </c>
      <c r="S99" s="134">
        <v>0</v>
      </c>
      <c r="T99" s="134">
        <v>0</v>
      </c>
      <c r="U99" s="134">
        <v>0</v>
      </c>
      <c r="V99" s="134">
        <v>0</v>
      </c>
      <c r="W99" s="134">
        <v>0</v>
      </c>
      <c r="X99" s="134">
        <v>0</v>
      </c>
      <c r="Y99" s="304">
        <f t="shared" ref="Y99:Y101" si="41">SUM(R99:X99)</f>
        <v>0</v>
      </c>
      <c r="Z99" s="6"/>
      <c r="AA99" s="6"/>
      <c r="AB99" s="6"/>
      <c r="AC99" s="6"/>
      <c r="AD99" s="6"/>
      <c r="AE99" s="6"/>
      <c r="AF99" s="6"/>
      <c r="AG99" s="8"/>
      <c r="AI99" s="97"/>
      <c r="AK99" s="349"/>
      <c r="AL99" s="349"/>
    </row>
    <row r="100" spans="2:38" x14ac:dyDescent="0.25">
      <c r="B100" s="120"/>
      <c r="C100" s="305" t="s">
        <v>386</v>
      </c>
      <c r="D100" s="23" t="str">
        <f>INDEX(Unit_Rates!$C$7:$K$113,MATCH($C100,Unit_Rates!$C$7:$C$113,0),5)</f>
        <v>Distribution system assets</v>
      </c>
      <c r="E100" s="23" t="str">
        <f>INDEX(Unit_Rates!$C$7:$K$113,MATCH($C100,Unit_Rates!$C$7:$C$113,0),6)</f>
        <v>Augmentation</v>
      </c>
      <c r="F100" s="23" t="str">
        <f t="shared" si="37"/>
        <v>Distribution system assetsAugmentation</v>
      </c>
      <c r="G100" s="170">
        <f>INDEX(Unit_Rates!$C$7:$K$113,MATCH($C100,Unit_Rates!$C$7:$C$113,0),7)</f>
        <v>6.06</v>
      </c>
      <c r="H100" s="345"/>
      <c r="I100" s="123" t="s">
        <v>294</v>
      </c>
      <c r="K100" s="212">
        <f t="shared" si="38"/>
        <v>0</v>
      </c>
      <c r="L100" s="212">
        <f>SUMPRODUCT(R$5:X$5,R100:X100)/Thousands</f>
        <v>0</v>
      </c>
      <c r="M100" s="170"/>
      <c r="N100" s="446"/>
      <c r="O100" s="446"/>
      <c r="P100" s="446"/>
      <c r="Q100" s="314">
        <f>P100-H100*VLOOKUP(C100,Unit_Rates!$C$7:$E$113,3,FALSE)</f>
        <v>0</v>
      </c>
      <c r="R100" s="134">
        <v>0</v>
      </c>
      <c r="S100" s="134">
        <v>0</v>
      </c>
      <c r="T100" s="134">
        <v>0</v>
      </c>
      <c r="U100" s="134">
        <v>0</v>
      </c>
      <c r="V100" s="134">
        <v>0</v>
      </c>
      <c r="W100" s="134">
        <v>0</v>
      </c>
      <c r="X100" s="134">
        <v>0</v>
      </c>
      <c r="Y100" s="304">
        <f t="shared" si="41"/>
        <v>0</v>
      </c>
      <c r="Z100" s="6"/>
      <c r="AA100" s="6"/>
      <c r="AB100" s="6"/>
      <c r="AC100" s="6"/>
      <c r="AD100" s="6"/>
      <c r="AE100" s="6"/>
      <c r="AF100" s="6"/>
      <c r="AG100" s="8"/>
      <c r="AI100" s="97"/>
      <c r="AK100" s="349"/>
      <c r="AL100" s="349"/>
    </row>
    <row r="101" spans="2:38" x14ac:dyDescent="0.25">
      <c r="B101" s="120"/>
      <c r="C101" s="23" t="s">
        <v>375</v>
      </c>
      <c r="D101" s="23" t="str">
        <f>INDEX(Unit_Rates!$C$7:$K$113,MATCH($C101,Unit_Rates!$C$7:$C$113,0),5)</f>
        <v>Distribution system assets</v>
      </c>
      <c r="E101" s="23" t="str">
        <f>INDEX(Unit_Rates!$C$7:$K$113,MATCH($C101,Unit_Rates!$C$7:$C$113,0),6)</f>
        <v>Augmentation</v>
      </c>
      <c r="F101" s="23" t="str">
        <f t="shared" si="37"/>
        <v>Distribution system assetsAugmentation</v>
      </c>
      <c r="G101" s="170">
        <f>INDEX(Unit_Rates!$C$7:$K$113,MATCH($C101,Unit_Rates!$C$7:$C$113,0),7)</f>
        <v>6.1704999999999996E-2</v>
      </c>
      <c r="H101" s="345"/>
      <c r="I101" s="123" t="s">
        <v>295</v>
      </c>
      <c r="K101" s="251">
        <f t="shared" si="38"/>
        <v>0</v>
      </c>
      <c r="L101" s="251">
        <f>SUMPRODUCT(R$5:X$5,R101:X101)/Thousands</f>
        <v>0</v>
      </c>
      <c r="M101" s="211"/>
      <c r="N101" s="447"/>
      <c r="O101" s="447"/>
      <c r="P101" s="447"/>
      <c r="Q101" s="314">
        <f>P101-H101*VLOOKUP(C101,Unit_Rates!$C$7:$E$113,3,FALSE)</f>
        <v>0</v>
      </c>
      <c r="R101" s="134">
        <v>0</v>
      </c>
      <c r="S101" s="134">
        <v>0</v>
      </c>
      <c r="T101" s="134">
        <v>0</v>
      </c>
      <c r="U101" s="134">
        <v>0</v>
      </c>
      <c r="V101" s="134">
        <v>0</v>
      </c>
      <c r="W101" s="134">
        <v>0</v>
      </c>
      <c r="X101" s="134">
        <v>0</v>
      </c>
      <c r="Y101" s="304">
        <f t="shared" si="41"/>
        <v>0</v>
      </c>
      <c r="Z101" s="6"/>
      <c r="AA101" s="6"/>
      <c r="AB101" s="6"/>
      <c r="AC101" s="6"/>
      <c r="AD101" s="6"/>
      <c r="AE101" s="6"/>
      <c r="AF101" s="6"/>
      <c r="AI101" s="97"/>
      <c r="AK101" s="349"/>
      <c r="AL101" s="349"/>
    </row>
    <row r="102" spans="2:38" x14ac:dyDescent="0.25">
      <c r="B102" s="120"/>
      <c r="C102" s="23" t="s">
        <v>403</v>
      </c>
      <c r="G102" s="166"/>
      <c r="H102" s="307"/>
      <c r="I102" s="123"/>
      <c r="K102" s="212">
        <v>0</v>
      </c>
      <c r="L102" s="212">
        <v>0</v>
      </c>
      <c r="M102" s="212">
        <v>0</v>
      </c>
      <c r="N102" s="212">
        <v>0</v>
      </c>
      <c r="O102" s="212">
        <v>0</v>
      </c>
      <c r="P102" s="212">
        <v>0</v>
      </c>
      <c r="Q102" s="152"/>
      <c r="Y102" s="77"/>
      <c r="Z102" s="6"/>
      <c r="AA102" s="6"/>
      <c r="AB102" s="6"/>
      <c r="AC102" s="6"/>
      <c r="AD102" s="6"/>
      <c r="AE102" s="6"/>
      <c r="AF102" s="6"/>
      <c r="AG102" s="8"/>
      <c r="AI102" s="97"/>
      <c r="AK102" s="349"/>
      <c r="AL102" s="349"/>
    </row>
    <row r="103" spans="2:38" x14ac:dyDescent="0.25">
      <c r="B103" s="120"/>
      <c r="G103" s="166"/>
      <c r="H103" s="307"/>
      <c r="I103" s="123"/>
      <c r="K103" s="212"/>
      <c r="L103" s="212"/>
      <c r="M103" s="170"/>
      <c r="N103" s="170"/>
      <c r="O103" s="170"/>
      <c r="P103" s="206"/>
      <c r="Q103" s="152"/>
      <c r="Y103" s="77"/>
      <c r="Z103" s="6"/>
      <c r="AA103" s="6"/>
      <c r="AB103" s="6"/>
      <c r="AC103" s="6"/>
      <c r="AD103" s="6"/>
      <c r="AE103" s="6"/>
      <c r="AF103" s="6"/>
      <c r="AG103" s="8"/>
      <c r="AI103" s="97"/>
      <c r="AK103" s="349"/>
      <c r="AL103" s="349"/>
    </row>
    <row r="104" spans="2:38" x14ac:dyDescent="0.25">
      <c r="B104" s="120" t="s">
        <v>330</v>
      </c>
      <c r="G104" s="167"/>
      <c r="H104" s="84"/>
      <c r="I104" s="167"/>
      <c r="K104" s="343">
        <f t="shared" ref="K104:P104" si="42">K102+K94</f>
        <v>0</v>
      </c>
      <c r="L104" s="343">
        <f t="shared" si="42"/>
        <v>0</v>
      </c>
      <c r="M104" s="344">
        <f t="shared" si="42"/>
        <v>0</v>
      </c>
      <c r="N104" s="344">
        <f t="shared" si="42"/>
        <v>0</v>
      </c>
      <c r="O104" s="344">
        <f t="shared" si="42"/>
        <v>0</v>
      </c>
      <c r="P104" s="344">
        <f t="shared" si="42"/>
        <v>0</v>
      </c>
      <c r="R104" s="216"/>
      <c r="S104" s="216"/>
      <c r="T104" s="216"/>
      <c r="Z104" s="8"/>
      <c r="AA104" s="8"/>
      <c r="AB104" s="8"/>
      <c r="AK104" s="349"/>
      <c r="AL104" s="349"/>
    </row>
    <row r="105" spans="2:38" x14ac:dyDescent="0.25">
      <c r="B105" s="195" t="s">
        <v>307</v>
      </c>
      <c r="C105" s="327"/>
      <c r="D105" s="102"/>
      <c r="E105" s="102"/>
      <c r="F105" s="102"/>
      <c r="G105" s="102"/>
      <c r="H105" s="102"/>
      <c r="I105" s="102"/>
      <c r="J105" s="102"/>
      <c r="K105" s="217">
        <v>0</v>
      </c>
      <c r="L105" s="217">
        <v>0</v>
      </c>
      <c r="M105" s="217">
        <v>0</v>
      </c>
      <c r="N105" s="217">
        <v>0</v>
      </c>
      <c r="O105" s="217">
        <v>0</v>
      </c>
      <c r="P105" s="218">
        <v>0</v>
      </c>
      <c r="Q105" s="163"/>
      <c r="AK105" s="349"/>
      <c r="AL105" s="349"/>
    </row>
    <row r="106" spans="2:38" x14ac:dyDescent="0.25">
      <c r="B106" s="120" t="s">
        <v>33</v>
      </c>
      <c r="C106" s="330"/>
      <c r="D106" s="3"/>
      <c r="E106" s="3"/>
      <c r="F106" s="3"/>
      <c r="G106" s="3"/>
      <c r="H106" s="3"/>
      <c r="I106" s="3"/>
      <c r="J106" s="3"/>
      <c r="K106" s="340">
        <f t="shared" ref="K106:P106" si="43">K73+K104</f>
        <v>3837.7455404014722</v>
      </c>
      <c r="L106" s="340">
        <f t="shared" si="43"/>
        <v>653.95127669566045</v>
      </c>
      <c r="M106" s="341">
        <f t="shared" si="43"/>
        <v>800</v>
      </c>
      <c r="N106" s="341">
        <f t="shared" si="43"/>
        <v>3574.7334047304976</v>
      </c>
      <c r="O106" s="341">
        <f t="shared" si="43"/>
        <v>74.641909391683441</v>
      </c>
      <c r="P106" s="342">
        <f t="shared" si="43"/>
        <v>8941.0721312193127</v>
      </c>
      <c r="AK106" s="349"/>
      <c r="AL106" s="349"/>
    </row>
    <row r="107" spans="2:38" x14ac:dyDescent="0.25">
      <c r="B107" s="224" t="s">
        <v>307</v>
      </c>
      <c r="C107" s="331"/>
      <c r="D107" s="225"/>
      <c r="E107" s="225"/>
      <c r="F107" s="225"/>
      <c r="G107" s="225"/>
      <c r="H107" s="225"/>
      <c r="I107" s="225"/>
      <c r="J107" s="225"/>
      <c r="K107" s="226">
        <v>0</v>
      </c>
      <c r="L107" s="226">
        <v>0</v>
      </c>
      <c r="M107" s="227">
        <v>0</v>
      </c>
      <c r="N107" s="227">
        <v>0</v>
      </c>
      <c r="O107" s="332">
        <v>0</v>
      </c>
      <c r="P107" s="363">
        <v>0</v>
      </c>
      <c r="Q107" s="319"/>
      <c r="AB107" s="183"/>
      <c r="AK107" s="349"/>
      <c r="AL107" s="349"/>
    </row>
    <row r="108" spans="2:38" x14ac:dyDescent="0.25">
      <c r="O108" s="320"/>
      <c r="P108" s="321"/>
      <c r="Q108" s="305"/>
      <c r="AK108" s="349"/>
      <c r="AL108" s="349"/>
    </row>
    <row r="109" spans="2:38" x14ac:dyDescent="0.25">
      <c r="O109" s="305"/>
      <c r="P109" s="321"/>
      <c r="Q109" s="305"/>
      <c r="AK109" s="349"/>
      <c r="AL109" s="349"/>
    </row>
    <row r="110" spans="2:38" outlineLevel="1" x14ac:dyDescent="0.25">
      <c r="C110" s="23" t="s">
        <v>293</v>
      </c>
      <c r="D110" t="s">
        <v>3</v>
      </c>
      <c r="E110" t="s">
        <v>27</v>
      </c>
      <c r="F110" s="23" t="str">
        <f t="shared" ref="F110:F132" si="44">D110&amp;E110</f>
        <v>SubtransmissionAugmentation</v>
      </c>
      <c r="K110" s="232">
        <v>2596.4632659999993</v>
      </c>
      <c r="L110" s="232">
        <v>0</v>
      </c>
      <c r="M110" s="233">
        <v>0</v>
      </c>
      <c r="N110" s="233">
        <v>3220.8390390865015</v>
      </c>
      <c r="O110" s="233">
        <v>72.708347020271759</v>
      </c>
      <c r="P110" s="233">
        <v>5890.0106521067728</v>
      </c>
      <c r="AK110" s="349"/>
      <c r="AL110" s="349"/>
    </row>
    <row r="111" spans="2:38" outlineLevel="1" x14ac:dyDescent="0.25">
      <c r="D111" t="s">
        <v>3</v>
      </c>
      <c r="E111" t="s">
        <v>28</v>
      </c>
      <c r="F111" s="23" t="str">
        <f t="shared" si="44"/>
        <v>SubtransmissionReplacement</v>
      </c>
      <c r="K111" s="232">
        <v>0</v>
      </c>
      <c r="L111" s="232">
        <v>0</v>
      </c>
      <c r="M111" s="233">
        <v>0</v>
      </c>
      <c r="N111" s="233">
        <v>0</v>
      </c>
      <c r="O111" s="233">
        <v>0</v>
      </c>
      <c r="P111" s="233">
        <v>0</v>
      </c>
      <c r="AK111" s="349"/>
      <c r="AL111" s="349"/>
    </row>
    <row r="112" spans="2:38" outlineLevel="1" x14ac:dyDescent="0.25">
      <c r="D112" t="s">
        <v>2</v>
      </c>
      <c r="E112" t="s">
        <v>27</v>
      </c>
      <c r="F112" s="23" t="str">
        <f t="shared" si="44"/>
        <v>SCADA/Network controlAugmentation</v>
      </c>
      <c r="K112" s="232">
        <v>1241.2822744014727</v>
      </c>
      <c r="L112" s="232">
        <v>0</v>
      </c>
      <c r="M112" s="233">
        <v>0</v>
      </c>
      <c r="N112" s="233">
        <v>353.89436564399574</v>
      </c>
      <c r="O112" s="233">
        <v>1.9335623714116765</v>
      </c>
      <c r="P112" s="233">
        <v>1597.1102024168802</v>
      </c>
    </row>
    <row r="113" spans="2:36" outlineLevel="1" x14ac:dyDescent="0.25">
      <c r="D113" t="s">
        <v>2</v>
      </c>
      <c r="E113" t="s">
        <v>28</v>
      </c>
      <c r="F113" s="23" t="str">
        <f t="shared" si="44"/>
        <v>SCADA/Network controlReplacement</v>
      </c>
      <c r="K113" s="232">
        <v>0</v>
      </c>
      <c r="L113" s="232">
        <v>0</v>
      </c>
      <c r="M113" s="233">
        <v>0</v>
      </c>
      <c r="N113" s="233">
        <v>0</v>
      </c>
      <c r="O113" s="233">
        <v>0</v>
      </c>
      <c r="P113" s="233">
        <v>0</v>
      </c>
    </row>
    <row r="114" spans="2:36" outlineLevel="1" x14ac:dyDescent="0.25">
      <c r="D114" t="s">
        <v>4</v>
      </c>
      <c r="E114" t="s">
        <v>29</v>
      </c>
      <c r="F114" s="23" t="str">
        <f t="shared" si="44"/>
        <v>LandNon-Network</v>
      </c>
      <c r="K114" s="337">
        <v>0</v>
      </c>
      <c r="L114" s="337">
        <v>0</v>
      </c>
      <c r="M114" s="338">
        <v>0</v>
      </c>
      <c r="N114" s="338">
        <v>0</v>
      </c>
      <c r="O114" s="338">
        <v>0</v>
      </c>
      <c r="P114" s="338">
        <v>0</v>
      </c>
    </row>
    <row r="115" spans="2:36" outlineLevel="1" x14ac:dyDescent="0.25">
      <c r="K115" s="232">
        <v>3837.7455404014718</v>
      </c>
      <c r="L115" s="232">
        <v>0</v>
      </c>
      <c r="M115" s="233">
        <v>0</v>
      </c>
      <c r="N115" s="233">
        <v>3574.7334047304971</v>
      </c>
      <c r="O115" s="233">
        <v>74.641909391683441</v>
      </c>
      <c r="P115" s="233">
        <v>7487.1208545236532</v>
      </c>
    </row>
    <row r="116" spans="2:36" outlineLevel="1" x14ac:dyDescent="0.25">
      <c r="C116" s="23" t="s">
        <v>331</v>
      </c>
      <c r="D116" t="s">
        <v>3</v>
      </c>
      <c r="E116" t="s">
        <v>27</v>
      </c>
      <c r="F116" s="23" t="str">
        <f t="shared" ref="F116:F120" si="45">D116&amp;E116</f>
        <v>SubtransmissionAugmentation</v>
      </c>
      <c r="K116" s="4"/>
      <c r="L116" s="232">
        <v>514.45409531075643</v>
      </c>
      <c r="M116" s="233">
        <v>629.3485323986007</v>
      </c>
      <c r="N116" s="233">
        <v>0</v>
      </c>
      <c r="O116" s="229"/>
      <c r="P116" s="233">
        <v>1143.8026277093572</v>
      </c>
    </row>
    <row r="117" spans="2:36" outlineLevel="1" x14ac:dyDescent="0.25">
      <c r="D117" t="s">
        <v>3</v>
      </c>
      <c r="E117" t="s">
        <v>28</v>
      </c>
      <c r="F117" s="23" t="str">
        <f t="shared" si="45"/>
        <v>SubtransmissionReplacement</v>
      </c>
      <c r="K117" s="4"/>
      <c r="L117" s="232">
        <v>0</v>
      </c>
      <c r="M117" s="233">
        <v>0</v>
      </c>
      <c r="N117" s="233">
        <v>0</v>
      </c>
      <c r="O117" s="229"/>
      <c r="P117" s="233">
        <v>0</v>
      </c>
    </row>
    <row r="118" spans="2:36" outlineLevel="1" x14ac:dyDescent="0.25">
      <c r="D118" t="s">
        <v>2</v>
      </c>
      <c r="E118" t="s">
        <v>27</v>
      </c>
      <c r="F118" s="23" t="str">
        <f t="shared" si="45"/>
        <v>SCADA/Network controlAugmentation</v>
      </c>
      <c r="K118" s="4"/>
      <c r="L118" s="232">
        <v>139.497181384904</v>
      </c>
      <c r="M118" s="233">
        <v>170.65146760139928</v>
      </c>
      <c r="N118" s="233">
        <v>0</v>
      </c>
      <c r="O118" s="229"/>
      <c r="P118" s="233">
        <v>310.14864898630327</v>
      </c>
    </row>
    <row r="119" spans="2:36" outlineLevel="1" x14ac:dyDescent="0.25">
      <c r="D119" t="s">
        <v>2</v>
      </c>
      <c r="E119" t="s">
        <v>28</v>
      </c>
      <c r="F119" s="23" t="str">
        <f t="shared" si="45"/>
        <v>SCADA/Network controlReplacement</v>
      </c>
      <c r="K119" s="4"/>
      <c r="L119" s="232">
        <v>0</v>
      </c>
      <c r="M119" s="233">
        <v>0</v>
      </c>
      <c r="N119" s="233">
        <v>0</v>
      </c>
      <c r="O119" s="229"/>
      <c r="P119" s="233">
        <v>0</v>
      </c>
    </row>
    <row r="120" spans="2:36" outlineLevel="1" x14ac:dyDescent="0.25">
      <c r="D120" t="s">
        <v>4</v>
      </c>
      <c r="E120" t="s">
        <v>29</v>
      </c>
      <c r="F120" s="23" t="str">
        <f t="shared" si="45"/>
        <v>LandNon-Network</v>
      </c>
      <c r="K120" s="230"/>
      <c r="L120" s="337">
        <v>0</v>
      </c>
      <c r="M120" s="338">
        <v>0</v>
      </c>
      <c r="N120" s="338">
        <v>0</v>
      </c>
      <c r="O120" s="231"/>
      <c r="P120" s="338">
        <v>0</v>
      </c>
    </row>
    <row r="121" spans="2:36" s="108" customFormat="1" outlineLevel="1" x14ac:dyDescent="0.25">
      <c r="B121"/>
      <c r="C121" s="23"/>
      <c r="D121"/>
      <c r="E121"/>
      <c r="F121"/>
      <c r="G121"/>
      <c r="H121"/>
      <c r="I121"/>
      <c r="J121"/>
      <c r="K121" s="232">
        <v>0</v>
      </c>
      <c r="L121" s="232">
        <v>653.95127669566045</v>
      </c>
      <c r="M121" s="233">
        <v>800</v>
      </c>
      <c r="N121" s="233">
        <v>0</v>
      </c>
      <c r="O121" s="233">
        <v>0</v>
      </c>
      <c r="P121" s="233">
        <v>1453.9512766956605</v>
      </c>
      <c r="X121"/>
      <c r="Y121"/>
      <c r="Z121"/>
      <c r="AA121"/>
      <c r="AB121"/>
      <c r="AC121"/>
      <c r="AD121"/>
      <c r="AE121"/>
      <c r="AF121"/>
      <c r="AG121"/>
      <c r="AH121"/>
      <c r="AI121"/>
      <c r="AJ121"/>
    </row>
    <row r="122" spans="2:36" s="108" customFormat="1" outlineLevel="1" x14ac:dyDescent="0.25">
      <c r="B122"/>
      <c r="C122" s="23" t="s">
        <v>332</v>
      </c>
      <c r="D122" t="s">
        <v>3</v>
      </c>
      <c r="E122" t="s">
        <v>27</v>
      </c>
      <c r="F122" s="23" t="str">
        <f t="shared" ref="F122:F126" si="46">D122&amp;E122</f>
        <v>SubtransmissionAugmentation</v>
      </c>
      <c r="G122"/>
      <c r="H122"/>
      <c r="I122"/>
      <c r="J122"/>
      <c r="K122" s="232">
        <v>2596.4632659999993</v>
      </c>
      <c r="L122" s="232">
        <v>514.45409531075643</v>
      </c>
      <c r="M122" s="233">
        <v>629.3485323986007</v>
      </c>
      <c r="N122" s="233">
        <v>3220.8390390865015</v>
      </c>
      <c r="O122" s="233">
        <v>72.708347020271759</v>
      </c>
      <c r="P122" s="233">
        <v>7033.8132798161296</v>
      </c>
      <c r="X122"/>
      <c r="Y122"/>
      <c r="Z122"/>
      <c r="AA122"/>
      <c r="AB122"/>
      <c r="AC122"/>
      <c r="AD122"/>
      <c r="AE122"/>
      <c r="AF122"/>
      <c r="AG122"/>
      <c r="AH122"/>
      <c r="AI122"/>
      <c r="AJ122"/>
    </row>
    <row r="123" spans="2:36" s="108" customFormat="1" outlineLevel="1" x14ac:dyDescent="0.25">
      <c r="B123"/>
      <c r="C123" s="23"/>
      <c r="D123" t="s">
        <v>3</v>
      </c>
      <c r="E123" t="s">
        <v>28</v>
      </c>
      <c r="F123" s="23" t="str">
        <f t="shared" si="46"/>
        <v>SubtransmissionReplacement</v>
      </c>
      <c r="G123"/>
      <c r="H123"/>
      <c r="I123"/>
      <c r="J123"/>
      <c r="K123" s="232">
        <v>0</v>
      </c>
      <c r="L123" s="232">
        <v>0</v>
      </c>
      <c r="M123" s="233">
        <v>0</v>
      </c>
      <c r="N123" s="233">
        <v>0</v>
      </c>
      <c r="O123" s="233">
        <v>0</v>
      </c>
      <c r="P123" s="233">
        <v>0</v>
      </c>
      <c r="X123"/>
      <c r="Y123"/>
      <c r="Z123"/>
      <c r="AA123"/>
      <c r="AB123"/>
      <c r="AC123"/>
      <c r="AD123"/>
      <c r="AE123"/>
      <c r="AF123"/>
      <c r="AG123"/>
      <c r="AH123"/>
      <c r="AI123"/>
      <c r="AJ123"/>
    </row>
    <row r="124" spans="2:36" s="108" customFormat="1" outlineLevel="1" x14ac:dyDescent="0.25">
      <c r="B124"/>
      <c r="C124" s="23"/>
      <c r="D124" t="s">
        <v>2</v>
      </c>
      <c r="E124" t="s">
        <v>27</v>
      </c>
      <c r="F124" s="23" t="str">
        <f t="shared" si="46"/>
        <v>SCADA/Network controlAugmentation</v>
      </c>
      <c r="G124"/>
      <c r="H124"/>
      <c r="I124"/>
      <c r="J124"/>
      <c r="K124" s="232">
        <v>1241.2822744014727</v>
      </c>
      <c r="L124" s="232">
        <v>139.497181384904</v>
      </c>
      <c r="M124" s="233">
        <v>170.65146760139928</v>
      </c>
      <c r="N124" s="233">
        <v>353.89436564399574</v>
      </c>
      <c r="O124" s="233">
        <v>1.9335623714116765</v>
      </c>
      <c r="P124" s="233">
        <v>1907.2588514031834</v>
      </c>
      <c r="X124"/>
      <c r="Y124"/>
      <c r="Z124"/>
      <c r="AA124"/>
      <c r="AB124"/>
      <c r="AC124"/>
      <c r="AD124"/>
      <c r="AE124"/>
      <c r="AF124"/>
      <c r="AG124"/>
      <c r="AH124"/>
      <c r="AI124"/>
      <c r="AJ124"/>
    </row>
    <row r="125" spans="2:36" s="108" customFormat="1" outlineLevel="1" x14ac:dyDescent="0.25">
      <c r="B125"/>
      <c r="C125" s="23"/>
      <c r="D125" t="s">
        <v>2</v>
      </c>
      <c r="E125" t="s">
        <v>28</v>
      </c>
      <c r="F125" s="23" t="str">
        <f t="shared" si="46"/>
        <v>SCADA/Network controlReplacement</v>
      </c>
      <c r="G125"/>
      <c r="H125"/>
      <c r="I125"/>
      <c r="J125"/>
      <c r="K125" s="232">
        <v>0</v>
      </c>
      <c r="L125" s="232">
        <v>0</v>
      </c>
      <c r="M125" s="233">
        <v>0</v>
      </c>
      <c r="N125" s="233">
        <v>0</v>
      </c>
      <c r="O125" s="233">
        <v>0</v>
      </c>
      <c r="P125" s="233">
        <v>0</v>
      </c>
      <c r="X125"/>
      <c r="Y125"/>
      <c r="Z125"/>
      <c r="AA125"/>
      <c r="AB125"/>
      <c r="AC125"/>
      <c r="AD125"/>
      <c r="AE125"/>
      <c r="AF125"/>
      <c r="AG125"/>
      <c r="AH125"/>
      <c r="AI125"/>
      <c r="AJ125"/>
    </row>
    <row r="126" spans="2:36" s="108" customFormat="1" outlineLevel="1" x14ac:dyDescent="0.25">
      <c r="B126"/>
      <c r="C126" s="23"/>
      <c r="D126" t="s">
        <v>4</v>
      </c>
      <c r="E126" t="s">
        <v>29</v>
      </c>
      <c r="F126" s="23" t="str">
        <f t="shared" si="46"/>
        <v>LandNon-Network</v>
      </c>
      <c r="G126"/>
      <c r="H126"/>
      <c r="I126"/>
      <c r="J126"/>
      <c r="K126" s="337">
        <v>0</v>
      </c>
      <c r="L126" s="337">
        <v>0</v>
      </c>
      <c r="M126" s="338">
        <v>0</v>
      </c>
      <c r="N126" s="338">
        <v>0</v>
      </c>
      <c r="O126" s="338">
        <v>0</v>
      </c>
      <c r="P126" s="338">
        <v>0</v>
      </c>
      <c r="X126"/>
      <c r="Y126"/>
      <c r="Z126"/>
      <c r="AA126"/>
      <c r="AB126"/>
      <c r="AC126"/>
      <c r="AD126"/>
      <c r="AE126"/>
      <c r="AF126"/>
      <c r="AG126"/>
      <c r="AH126"/>
      <c r="AI126"/>
      <c r="AJ126"/>
    </row>
    <row r="127" spans="2:36" s="108" customFormat="1" outlineLevel="1" x14ac:dyDescent="0.25">
      <c r="B127"/>
      <c r="C127" s="23"/>
      <c r="D127"/>
      <c r="E127"/>
      <c r="F127"/>
      <c r="G127"/>
      <c r="H127"/>
      <c r="I127"/>
      <c r="J127"/>
      <c r="K127" s="232">
        <v>3837.7455404014718</v>
      </c>
      <c r="L127" s="232">
        <v>653.95127669566045</v>
      </c>
      <c r="M127" s="233">
        <v>800</v>
      </c>
      <c r="N127" s="233">
        <v>3574.7334047304971</v>
      </c>
      <c r="O127" s="233">
        <v>74.641909391683441</v>
      </c>
      <c r="P127" s="233">
        <v>8941.0721312193127</v>
      </c>
      <c r="X127"/>
      <c r="Y127"/>
      <c r="Z127"/>
      <c r="AA127"/>
      <c r="AB127"/>
      <c r="AC127"/>
      <c r="AD127"/>
      <c r="AE127"/>
      <c r="AF127"/>
      <c r="AG127"/>
      <c r="AH127"/>
      <c r="AI127"/>
      <c r="AJ127"/>
    </row>
    <row r="128" spans="2:36" s="108" customFormat="1" outlineLevel="1" x14ac:dyDescent="0.25">
      <c r="B128"/>
      <c r="C128" s="23"/>
      <c r="D128"/>
      <c r="E128"/>
      <c r="F128"/>
      <c r="G128"/>
      <c r="H128"/>
      <c r="I128"/>
      <c r="J128"/>
      <c r="K128" s="96">
        <v>0</v>
      </c>
      <c r="L128" s="96">
        <v>0</v>
      </c>
      <c r="M128" s="339">
        <v>0</v>
      </c>
      <c r="N128" s="339">
        <v>0</v>
      </c>
      <c r="O128" s="339">
        <v>0</v>
      </c>
      <c r="P128" s="339">
        <v>0</v>
      </c>
      <c r="X128"/>
      <c r="Y128"/>
      <c r="Z128"/>
      <c r="AA128"/>
      <c r="AB128"/>
      <c r="AC128"/>
      <c r="AD128"/>
      <c r="AE128"/>
      <c r="AF128"/>
      <c r="AG128"/>
      <c r="AH128"/>
      <c r="AI128"/>
      <c r="AJ128"/>
    </row>
    <row r="129" spans="2:36" s="108" customFormat="1" outlineLevel="1" x14ac:dyDescent="0.25">
      <c r="B129"/>
      <c r="C129" s="23" t="s">
        <v>360</v>
      </c>
      <c r="D129" t="s">
        <v>3</v>
      </c>
      <c r="E129" t="s">
        <v>27</v>
      </c>
      <c r="F129" s="23" t="str">
        <f t="shared" ref="F129:F130" si="47">D129&amp;E129</f>
        <v>SubtransmissionAugmentation</v>
      </c>
      <c r="G129"/>
      <c r="H129"/>
      <c r="I129"/>
      <c r="J129"/>
      <c r="K129" s="232">
        <v>0</v>
      </c>
      <c r="L129" s="232">
        <v>0</v>
      </c>
      <c r="M129" s="233">
        <v>0</v>
      </c>
      <c r="N129" s="233">
        <v>0</v>
      </c>
      <c r="O129" s="233">
        <v>0</v>
      </c>
      <c r="P129" s="233">
        <v>0</v>
      </c>
      <c r="X129"/>
      <c r="Y129"/>
      <c r="Z129"/>
      <c r="AA129"/>
      <c r="AB129"/>
      <c r="AC129"/>
      <c r="AD129"/>
      <c r="AE129"/>
      <c r="AF129"/>
      <c r="AG129"/>
      <c r="AH129"/>
      <c r="AI129"/>
      <c r="AJ129"/>
    </row>
    <row r="130" spans="2:36" s="108" customFormat="1" outlineLevel="1" x14ac:dyDescent="0.25">
      <c r="B130"/>
      <c r="C130" s="23"/>
      <c r="D130" t="s">
        <v>3</v>
      </c>
      <c r="E130" t="s">
        <v>28</v>
      </c>
      <c r="F130" s="23" t="str">
        <f t="shared" si="47"/>
        <v>SubtransmissionReplacement</v>
      </c>
      <c r="G130"/>
      <c r="H130"/>
      <c r="I130"/>
      <c r="J130"/>
      <c r="K130" s="232">
        <v>0</v>
      </c>
      <c r="L130" s="232">
        <v>0</v>
      </c>
      <c r="M130" s="233">
        <v>0</v>
      </c>
      <c r="N130" s="233">
        <v>0</v>
      </c>
      <c r="O130" s="233">
        <v>0</v>
      </c>
      <c r="P130" s="233">
        <v>0</v>
      </c>
      <c r="X130"/>
      <c r="Y130"/>
      <c r="Z130"/>
      <c r="AA130"/>
      <c r="AB130"/>
      <c r="AC130"/>
      <c r="AD130"/>
      <c r="AE130"/>
      <c r="AF130"/>
      <c r="AG130"/>
      <c r="AH130"/>
      <c r="AI130"/>
      <c r="AJ130"/>
    </row>
    <row r="131" spans="2:36" s="108" customFormat="1" outlineLevel="1" x14ac:dyDescent="0.25">
      <c r="B131"/>
      <c r="C131" s="305"/>
      <c r="D131" t="s">
        <v>92</v>
      </c>
      <c r="E131" t="s">
        <v>27</v>
      </c>
      <c r="F131" s="23" t="str">
        <f t="shared" si="44"/>
        <v>Distribution system assetsAugmentation</v>
      </c>
      <c r="G131"/>
      <c r="H131"/>
      <c r="I131"/>
      <c r="J131"/>
      <c r="K131" s="232">
        <v>0</v>
      </c>
      <c r="L131" s="232">
        <v>0</v>
      </c>
      <c r="M131" s="233">
        <v>0</v>
      </c>
      <c r="N131" s="233">
        <v>0</v>
      </c>
      <c r="O131" s="233">
        <v>0</v>
      </c>
      <c r="P131" s="233">
        <v>0</v>
      </c>
      <c r="X131"/>
      <c r="Y131"/>
      <c r="Z131"/>
      <c r="AA131"/>
      <c r="AB131"/>
      <c r="AC131"/>
      <c r="AD131"/>
      <c r="AE131"/>
      <c r="AF131"/>
      <c r="AG131"/>
      <c r="AH131"/>
      <c r="AI131"/>
      <c r="AJ131"/>
    </row>
    <row r="132" spans="2:36" s="108" customFormat="1" outlineLevel="1" x14ac:dyDescent="0.25">
      <c r="B132"/>
      <c r="C132" s="23"/>
      <c r="D132" t="s">
        <v>92</v>
      </c>
      <c r="E132" t="s">
        <v>28</v>
      </c>
      <c r="F132" s="23" t="str">
        <f t="shared" si="44"/>
        <v>Distribution system assetsReplacement</v>
      </c>
      <c r="G132"/>
      <c r="H132"/>
      <c r="I132"/>
      <c r="J132"/>
      <c r="K132" s="337">
        <v>0</v>
      </c>
      <c r="L132" s="337">
        <v>0</v>
      </c>
      <c r="M132" s="338">
        <v>0</v>
      </c>
      <c r="N132" s="338">
        <v>0</v>
      </c>
      <c r="O132" s="338">
        <v>0</v>
      </c>
      <c r="P132" s="338">
        <v>0</v>
      </c>
      <c r="X132"/>
      <c r="Y132"/>
      <c r="Z132"/>
      <c r="AA132"/>
      <c r="AB132"/>
      <c r="AC132"/>
      <c r="AD132"/>
      <c r="AE132"/>
      <c r="AF132"/>
      <c r="AG132"/>
      <c r="AH132"/>
      <c r="AI132"/>
      <c r="AJ132"/>
    </row>
    <row r="133" spans="2:36" s="108" customFormat="1" outlineLevel="1" x14ac:dyDescent="0.25">
      <c r="B133"/>
      <c r="C133" s="23"/>
      <c r="D133"/>
      <c r="E133"/>
      <c r="F133"/>
      <c r="G133"/>
      <c r="H133"/>
      <c r="I133"/>
      <c r="J133"/>
      <c r="K133" s="304">
        <v>0</v>
      </c>
      <c r="L133" s="304">
        <v>0</v>
      </c>
      <c r="M133" s="304">
        <v>0</v>
      </c>
      <c r="N133" s="304">
        <v>0</v>
      </c>
      <c r="O133" s="304">
        <v>0</v>
      </c>
      <c r="P133" s="304">
        <v>0</v>
      </c>
      <c r="X133"/>
      <c r="Y133"/>
      <c r="Z133"/>
      <c r="AA133"/>
      <c r="AB133"/>
      <c r="AC133"/>
      <c r="AD133"/>
      <c r="AE133"/>
      <c r="AF133"/>
      <c r="AG133"/>
      <c r="AH133"/>
      <c r="AI133"/>
      <c r="AJ133"/>
    </row>
    <row r="134" spans="2:36" s="108" customFormat="1" outlineLevel="1" x14ac:dyDescent="0.25">
      <c r="B134"/>
      <c r="C134" s="23"/>
      <c r="D134"/>
      <c r="E134"/>
      <c r="F134"/>
      <c r="G134"/>
      <c r="H134"/>
      <c r="I134"/>
      <c r="J134"/>
      <c r="K134" s="336">
        <v>0</v>
      </c>
      <c r="L134" s="336">
        <v>0</v>
      </c>
      <c r="M134" s="314">
        <v>0</v>
      </c>
      <c r="N134" s="314">
        <v>0</v>
      </c>
      <c r="O134" s="314">
        <v>0</v>
      </c>
      <c r="P134" s="314">
        <v>0</v>
      </c>
      <c r="X134"/>
      <c r="Y134"/>
      <c r="Z134"/>
      <c r="AA134"/>
      <c r="AB134"/>
      <c r="AC134"/>
      <c r="AD134"/>
      <c r="AE134"/>
      <c r="AF134"/>
      <c r="AG134"/>
      <c r="AH134"/>
      <c r="AI134"/>
      <c r="AJ134"/>
    </row>
    <row r="135" spans="2:36" outlineLevel="1" x14ac:dyDescent="0.25">
      <c r="C135" s="23" t="s">
        <v>369</v>
      </c>
      <c r="D135" t="s">
        <v>3</v>
      </c>
      <c r="E135" t="s">
        <v>27</v>
      </c>
      <c r="F135" s="23" t="str">
        <f t="shared" ref="F135:F138" si="48">D135&amp;E135</f>
        <v>SubtransmissionAugmentation</v>
      </c>
      <c r="K135" s="232">
        <v>0</v>
      </c>
      <c r="L135" s="232">
        <v>0</v>
      </c>
      <c r="M135" s="232">
        <v>0</v>
      </c>
      <c r="N135" s="232">
        <v>0</v>
      </c>
      <c r="O135" s="232">
        <v>0</v>
      </c>
      <c r="P135" s="232">
        <v>0</v>
      </c>
    </row>
    <row r="136" spans="2:36" outlineLevel="1" x14ac:dyDescent="0.25">
      <c r="D136" t="s">
        <v>3</v>
      </c>
      <c r="E136" t="s">
        <v>28</v>
      </c>
      <c r="F136" s="23" t="str">
        <f t="shared" si="48"/>
        <v>SubtransmissionReplacement</v>
      </c>
      <c r="K136" s="232">
        <v>0</v>
      </c>
      <c r="L136" s="232">
        <v>0</v>
      </c>
      <c r="M136" s="232">
        <v>0</v>
      </c>
      <c r="N136" s="232">
        <v>0</v>
      </c>
      <c r="O136" s="232">
        <v>0</v>
      </c>
      <c r="P136" s="232">
        <v>0</v>
      </c>
    </row>
    <row r="137" spans="2:36" outlineLevel="1" x14ac:dyDescent="0.25">
      <c r="D137" t="s">
        <v>92</v>
      </c>
      <c r="E137" t="s">
        <v>27</v>
      </c>
      <c r="F137" s="23" t="str">
        <f t="shared" si="48"/>
        <v>Distribution system assetsAugmentation</v>
      </c>
      <c r="K137" s="232">
        <v>0</v>
      </c>
      <c r="L137" s="232">
        <v>0</v>
      </c>
      <c r="M137" s="232">
        <v>0</v>
      </c>
      <c r="N137" s="232">
        <v>0</v>
      </c>
      <c r="O137" s="232">
        <v>0</v>
      </c>
      <c r="P137" s="232">
        <v>0</v>
      </c>
    </row>
    <row r="138" spans="2:36" outlineLevel="1" x14ac:dyDescent="0.25">
      <c r="D138" t="s">
        <v>92</v>
      </c>
      <c r="E138" t="s">
        <v>28</v>
      </c>
      <c r="F138" s="23" t="str">
        <f t="shared" si="48"/>
        <v>Distribution system assetsReplacement</v>
      </c>
      <c r="K138" s="337">
        <v>0</v>
      </c>
      <c r="L138" s="337">
        <v>0</v>
      </c>
      <c r="M138" s="337">
        <v>0</v>
      </c>
      <c r="N138" s="337">
        <v>0</v>
      </c>
      <c r="O138" s="337">
        <v>0</v>
      </c>
      <c r="P138" s="337">
        <v>0</v>
      </c>
    </row>
    <row r="139" spans="2:36" outlineLevel="1" x14ac:dyDescent="0.25">
      <c r="K139" s="304">
        <v>0</v>
      </c>
      <c r="L139" s="304">
        <v>0</v>
      </c>
      <c r="M139" s="304">
        <v>0</v>
      </c>
      <c r="N139" s="304">
        <v>0</v>
      </c>
      <c r="O139" s="304">
        <v>0</v>
      </c>
      <c r="P139" s="304">
        <v>0</v>
      </c>
    </row>
    <row r="140" spans="2:36" outlineLevel="1" x14ac:dyDescent="0.25">
      <c r="K140" s="336">
        <f t="shared" ref="K140:P140" si="49">K139-K102</f>
        <v>0</v>
      </c>
      <c r="L140" s="336">
        <f t="shared" si="49"/>
        <v>0</v>
      </c>
      <c r="M140" s="336">
        <f t="shared" si="49"/>
        <v>0</v>
      </c>
      <c r="N140" s="336">
        <f t="shared" si="49"/>
        <v>0</v>
      </c>
      <c r="O140" s="336">
        <f t="shared" si="49"/>
        <v>0</v>
      </c>
      <c r="P140" s="336">
        <f t="shared" si="49"/>
        <v>0</v>
      </c>
    </row>
  </sheetData>
  <mergeCells count="3">
    <mergeCell ref="G3:I3"/>
    <mergeCell ref="K3:P3"/>
    <mergeCell ref="R3:X3"/>
  </mergeCells>
  <pageMargins left="0.25" right="0.25" top="0.75" bottom="0.75" header="0.3" footer="0.3"/>
  <pageSetup paperSize="9" scale="65" fitToHeight="0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B1:AI129"/>
  <sheetViews>
    <sheetView zoomScale="70" zoomScaleNormal="70" workbookViewId="0">
      <pane xSplit="3" ySplit="4" topLeftCell="H5" activePane="bottomRight" state="frozen"/>
      <selection activeCell="K4" sqref="K4:P4"/>
      <selection pane="topRight" activeCell="K4" sqref="K4:P4"/>
      <selection pane="bottomLeft" activeCell="K4" sqref="K4:P4"/>
      <selection pane="bottomRight" activeCell="N5" sqref="N5"/>
    </sheetView>
  </sheetViews>
  <sheetFormatPr defaultRowHeight="15" outlineLevelRow="1" outlineLevelCol="1" x14ac:dyDescent="0.25"/>
  <cols>
    <col min="1" max="1" width="2.28515625" customWidth="1"/>
    <col min="2" max="2" width="3" customWidth="1"/>
    <col min="3" max="3" width="52" customWidth="1"/>
    <col min="4" max="4" width="22.28515625" customWidth="1" outlineLevel="1"/>
    <col min="5" max="5" width="15.28515625" customWidth="1" outlineLevel="1"/>
    <col min="6" max="6" width="31.28515625" customWidth="1" outlineLevel="1"/>
    <col min="7" max="7" width="10.5703125" style="108" customWidth="1"/>
    <col min="8" max="8" width="8.7109375" customWidth="1"/>
    <col min="9" max="9" width="10.7109375" customWidth="1"/>
    <col min="10" max="10" width="2.28515625" customWidth="1"/>
    <col min="11" max="11" width="13" customWidth="1"/>
    <col min="12" max="12" width="11" customWidth="1"/>
    <col min="13" max="13" width="12.42578125" style="108" bestFit="1" customWidth="1"/>
    <col min="14" max="14" width="13" style="108" customWidth="1"/>
    <col min="15" max="15" width="9.28515625" style="108" bestFit="1" customWidth="1"/>
    <col min="16" max="16" width="12.85546875" style="108" bestFit="1" customWidth="1"/>
    <col min="17" max="17" width="12.7109375" style="108" bestFit="1" customWidth="1"/>
    <col min="18" max="18" width="11.42578125" style="108" customWidth="1"/>
    <col min="19" max="22" width="9.7109375" style="108" customWidth="1"/>
    <col min="23" max="23" width="11.85546875" style="108" customWidth="1"/>
    <col min="24" max="24" width="10.85546875" style="108" customWidth="1"/>
    <col min="25" max="25" width="16.7109375" customWidth="1"/>
    <col min="26" max="35" width="9.140625" customWidth="1" outlineLevel="1"/>
    <col min="36" max="36" width="8.85546875" customWidth="1"/>
  </cols>
  <sheetData>
    <row r="1" spans="2:33" x14ac:dyDescent="0.25">
      <c r="N1" s="452" t="s">
        <v>112</v>
      </c>
    </row>
    <row r="2" spans="2:33" x14ac:dyDescent="0.25">
      <c r="B2" s="11" t="str">
        <f>STN_5&amp;" Volumes &amp; Unit Rates"</f>
        <v>RWN Volumes &amp; Unit Rates</v>
      </c>
      <c r="H2" s="257"/>
      <c r="I2" s="257"/>
      <c r="J2" s="257"/>
      <c r="K2" s="257"/>
      <c r="L2" s="257"/>
    </row>
    <row r="3" spans="2:33" ht="14.45" customHeight="1" x14ac:dyDescent="0.25">
      <c r="B3" t="str">
        <f>STN_5</f>
        <v>RWN</v>
      </c>
      <c r="G3" s="462" t="s">
        <v>21</v>
      </c>
      <c r="H3" s="463"/>
      <c r="I3" s="464"/>
      <c r="K3" s="462" t="s">
        <v>276</v>
      </c>
      <c r="L3" s="463"/>
      <c r="M3" s="463"/>
      <c r="N3" s="463"/>
      <c r="O3" s="463"/>
      <c r="P3" s="464"/>
      <c r="R3" s="465" t="s">
        <v>277</v>
      </c>
      <c r="S3" s="466"/>
      <c r="T3" s="466"/>
      <c r="U3" s="466"/>
      <c r="V3" s="466"/>
      <c r="W3" s="466"/>
      <c r="X3" s="467"/>
    </row>
    <row r="4" spans="2:33" ht="45" customHeight="1" x14ac:dyDescent="0.25">
      <c r="D4" t="s">
        <v>5</v>
      </c>
      <c r="E4" t="s">
        <v>20</v>
      </c>
      <c r="G4" s="109" t="s">
        <v>278</v>
      </c>
      <c r="H4" s="110" t="s">
        <v>279</v>
      </c>
      <c r="I4" s="111" t="s">
        <v>280</v>
      </c>
      <c r="K4" s="111" t="s">
        <v>21</v>
      </c>
      <c r="L4" s="111" t="s">
        <v>22</v>
      </c>
      <c r="M4" s="202" t="s">
        <v>23</v>
      </c>
      <c r="N4" s="202" t="s">
        <v>24</v>
      </c>
      <c r="O4" s="112" t="s">
        <v>25</v>
      </c>
      <c r="P4" s="112" t="s">
        <v>26</v>
      </c>
      <c r="Q4" s="113" t="s">
        <v>281</v>
      </c>
      <c r="R4" s="114" t="s">
        <v>282</v>
      </c>
      <c r="S4" s="114" t="s">
        <v>82</v>
      </c>
      <c r="T4" s="114" t="s">
        <v>83</v>
      </c>
      <c r="U4" s="114" t="s">
        <v>84</v>
      </c>
      <c r="V4" s="114" t="s">
        <v>283</v>
      </c>
      <c r="W4" s="114" t="s">
        <v>85</v>
      </c>
      <c r="X4" s="114" t="s">
        <v>284</v>
      </c>
      <c r="Y4" s="115" t="s">
        <v>285</v>
      </c>
    </row>
    <row r="5" spans="2:33" x14ac:dyDescent="0.25">
      <c r="B5" s="116" t="s">
        <v>286</v>
      </c>
      <c r="C5" s="117"/>
      <c r="D5" s="117"/>
      <c r="E5" s="117"/>
      <c r="F5" s="117"/>
      <c r="G5" s="109"/>
      <c r="H5" s="110"/>
      <c r="I5" s="111"/>
      <c r="J5" s="117"/>
      <c r="K5" s="111"/>
      <c r="L5" s="111"/>
      <c r="M5" s="112"/>
      <c r="N5" s="109"/>
      <c r="O5" s="112"/>
      <c r="P5" s="112"/>
      <c r="R5" s="119">
        <f>Lab_Rates!$C$6*Escalators!C7*(1+Escalators!C17)*Escalators!$G$32</f>
        <v>162.48739067582716</v>
      </c>
      <c r="S5" s="119">
        <f>Lab_Rates!$C$7*Escalators!C7*(1+Escalators!C17)*Escalators!$G$32</f>
        <v>151.79743076294375</v>
      </c>
      <c r="T5" s="119">
        <f>Lab_Rates!$C$8*Escalators!C7*(1+Escalators!C17)*Escalators!$G$32</f>
        <v>176.38433856257552</v>
      </c>
      <c r="U5" s="119">
        <f>Lab_Rates!$C$9*Escalators!C7*(1+Escalators!C17)*Escalators!$G$32</f>
        <v>229.83413812699234</v>
      </c>
      <c r="V5" s="119">
        <f>Lab_Rates!$C$6*Escalators!C7*(1+Escalators!C17)*Escalators!$G$32</f>
        <v>162.48739067582716</v>
      </c>
      <c r="W5" s="119">
        <f>Lab_Rates!$C$10*Escalators!C7*(1+Escalators!C17)*Escalators!$G$32</f>
        <v>162.48739067582716</v>
      </c>
      <c r="X5" s="119">
        <f>Lab_Rates!$C$5*Escalators!C7*(1+Escalators!C17)*Escalators!$G$32</f>
        <v>133.62449891104205</v>
      </c>
    </row>
    <row r="6" spans="2:33" x14ac:dyDescent="0.25">
      <c r="B6" s="120"/>
      <c r="G6" s="124"/>
      <c r="H6" s="122"/>
      <c r="I6" s="123"/>
      <c r="K6" s="121"/>
      <c r="L6" s="121"/>
      <c r="M6" s="124"/>
      <c r="N6" s="125"/>
      <c r="O6" s="124"/>
      <c r="P6" s="126"/>
      <c r="R6" s="127"/>
      <c r="S6" s="127"/>
      <c r="T6" s="127"/>
      <c r="U6" s="127"/>
      <c r="V6" s="127"/>
      <c r="W6" s="127"/>
      <c r="X6" s="127"/>
    </row>
    <row r="7" spans="2:33" x14ac:dyDescent="0.25">
      <c r="B7" s="84" t="s">
        <v>343</v>
      </c>
      <c r="C7" s="23"/>
      <c r="D7" t="s">
        <v>1</v>
      </c>
      <c r="E7" t="s">
        <v>1</v>
      </c>
      <c r="G7" s="128"/>
      <c r="H7" s="129"/>
      <c r="I7" s="130"/>
      <c r="K7" s="131"/>
      <c r="L7" s="121">
        <f>SUMPRODUCT(R$5:X$5,R7:X7)/Thousands</f>
        <v>0</v>
      </c>
      <c r="M7" s="132">
        <v>550</v>
      </c>
      <c r="N7" s="132"/>
      <c r="O7" s="128"/>
      <c r="P7" s="126">
        <f t="shared" ref="P7" si="0">SUM(K7:O7)</f>
        <v>550</v>
      </c>
      <c r="Q7" s="133"/>
      <c r="R7" s="134"/>
      <c r="S7" s="135"/>
      <c r="T7" s="135"/>
      <c r="U7" s="135"/>
      <c r="V7" s="135"/>
      <c r="W7" s="135"/>
      <c r="X7" s="135"/>
    </row>
    <row r="8" spans="2:33" x14ac:dyDescent="0.25">
      <c r="B8" s="136"/>
      <c r="C8" s="325"/>
      <c r="D8" s="46"/>
      <c r="E8" s="46"/>
      <c r="F8" s="46"/>
      <c r="G8" s="137"/>
      <c r="H8" s="138"/>
      <c r="I8" s="139"/>
      <c r="K8" s="140"/>
      <c r="L8" s="140"/>
      <c r="M8" s="137"/>
      <c r="N8" s="141"/>
      <c r="O8" s="141"/>
      <c r="P8" s="142"/>
      <c r="Q8" s="133"/>
      <c r="R8" s="127"/>
      <c r="S8" s="127"/>
      <c r="T8" s="127"/>
      <c r="U8" s="127"/>
      <c r="V8" s="127"/>
      <c r="W8" s="127"/>
      <c r="X8" s="127"/>
    </row>
    <row r="9" spans="2:33" x14ac:dyDescent="0.25">
      <c r="B9" s="143" t="s">
        <v>288</v>
      </c>
      <c r="C9" s="324"/>
      <c r="D9" s="117"/>
      <c r="E9" s="117"/>
      <c r="F9" s="117"/>
      <c r="G9" s="144"/>
      <c r="H9" s="110"/>
      <c r="I9" s="111"/>
      <c r="K9" s="145"/>
      <c r="L9" s="145"/>
      <c r="M9" s="144"/>
      <c r="N9" s="146"/>
      <c r="O9" s="146"/>
      <c r="P9" s="147"/>
      <c r="R9" s="127"/>
      <c r="S9" s="127"/>
      <c r="T9" s="127"/>
      <c r="U9" s="127"/>
      <c r="V9" s="127"/>
      <c r="W9" s="127"/>
      <c r="X9" s="127"/>
    </row>
    <row r="10" spans="2:33" x14ac:dyDescent="0.25">
      <c r="B10" s="84"/>
      <c r="C10" s="23" t="s">
        <v>289</v>
      </c>
      <c r="D10" t="s">
        <v>1</v>
      </c>
      <c r="E10" t="s">
        <v>1</v>
      </c>
      <c r="G10" s="128"/>
      <c r="H10" s="129"/>
      <c r="I10" s="130"/>
      <c r="K10" s="148"/>
      <c r="L10" s="172">
        <f>SUMPRODUCT(R$5:X$5,R10:X10)/Thousands</f>
        <v>52.596740763368736</v>
      </c>
      <c r="M10" s="150"/>
      <c r="N10" s="150">
        <v>0</v>
      </c>
      <c r="O10" s="151"/>
      <c r="P10" s="126">
        <f>SUM(K10:O10)</f>
        <v>52.596740763368736</v>
      </c>
      <c r="Q10" s="152"/>
      <c r="R10" s="134">
        <v>180</v>
      </c>
      <c r="S10" s="134">
        <v>111</v>
      </c>
      <c r="T10" s="134">
        <v>16</v>
      </c>
      <c r="U10" s="134">
        <v>16</v>
      </c>
      <c r="V10" s="134"/>
      <c r="W10" s="134"/>
      <c r="X10" s="134"/>
      <c r="Y10" s="77">
        <f>SUM(R10:X10)</f>
        <v>323</v>
      </c>
      <c r="AA10" s="6"/>
      <c r="AB10" s="6"/>
      <c r="AC10" s="6"/>
      <c r="AD10" s="6"/>
      <c r="AE10" s="6"/>
      <c r="AF10" s="6"/>
      <c r="AG10" s="6"/>
    </row>
    <row r="11" spans="2:33" x14ac:dyDescent="0.25">
      <c r="B11" s="84"/>
      <c r="C11" s="23" t="s">
        <v>290</v>
      </c>
      <c r="D11" t="s">
        <v>1</v>
      </c>
      <c r="E11" t="s">
        <v>1</v>
      </c>
      <c r="G11" s="128"/>
      <c r="H11" s="129"/>
      <c r="I11" s="130"/>
      <c r="K11" s="148"/>
      <c r="L11" s="172">
        <f>SUMPRODUCT(R$5:X$5,R11:X11)/Thousands</f>
        <v>487.65245331393078</v>
      </c>
      <c r="M11" s="150"/>
      <c r="N11" s="132">
        <v>0</v>
      </c>
      <c r="O11" s="151"/>
      <c r="P11" s="126">
        <f>SUM(K11:O11)</f>
        <v>487.65245331393078</v>
      </c>
      <c r="Q11" s="133"/>
      <c r="R11" s="134">
        <v>108</v>
      </c>
      <c r="S11" s="134"/>
      <c r="T11" s="134">
        <v>976</v>
      </c>
      <c r="U11" s="134"/>
      <c r="V11" s="134">
        <v>634</v>
      </c>
      <c r="W11" s="134">
        <v>1152</v>
      </c>
      <c r="X11" s="134">
        <v>58</v>
      </c>
      <c r="Y11" s="77">
        <f t="shared" ref="Y11:Y13" si="1">SUM(R11:X11)</f>
        <v>2928</v>
      </c>
      <c r="AA11" s="6"/>
      <c r="AB11" s="6"/>
      <c r="AC11" s="6"/>
      <c r="AD11" s="6"/>
      <c r="AE11" s="6"/>
      <c r="AF11" s="6"/>
      <c r="AG11" s="6"/>
    </row>
    <row r="12" spans="2:33" ht="14.45" customHeight="1" x14ac:dyDescent="0.25">
      <c r="B12" s="84"/>
      <c r="C12" s="23" t="s">
        <v>291</v>
      </c>
      <c r="D12" t="s">
        <v>1</v>
      </c>
      <c r="E12" t="s">
        <v>1</v>
      </c>
      <c r="G12" s="128"/>
      <c r="H12" s="129"/>
      <c r="I12" s="130"/>
      <c r="K12" s="148"/>
      <c r="L12" s="172">
        <f>SUMPRODUCT(R$5:X$5,R12:X12)/Thousands</f>
        <v>16.488194169631299</v>
      </c>
      <c r="M12" s="150"/>
      <c r="N12" s="150">
        <v>0</v>
      </c>
      <c r="O12" s="151"/>
      <c r="P12" s="126">
        <f>SUM(K12:O12)</f>
        <v>16.488194169631299</v>
      </c>
      <c r="Q12" s="152"/>
      <c r="R12" s="134">
        <v>32</v>
      </c>
      <c r="S12" s="134"/>
      <c r="T12" s="134">
        <v>64</v>
      </c>
      <c r="U12" s="134"/>
      <c r="V12" s="134"/>
      <c r="W12" s="134"/>
      <c r="X12" s="134"/>
      <c r="Y12" s="77">
        <f t="shared" si="1"/>
        <v>96</v>
      </c>
      <c r="AA12" s="6"/>
      <c r="AB12" s="6"/>
      <c r="AC12" s="6"/>
      <c r="AD12" s="6"/>
      <c r="AE12" s="6"/>
      <c r="AF12" s="6"/>
      <c r="AG12" s="6"/>
    </row>
    <row r="13" spans="2:33" x14ac:dyDescent="0.25">
      <c r="B13" s="84"/>
      <c r="C13" s="23" t="s">
        <v>292</v>
      </c>
      <c r="D13" t="s">
        <v>1</v>
      </c>
      <c r="E13" t="s">
        <v>1</v>
      </c>
      <c r="G13" s="128"/>
      <c r="H13" s="129"/>
      <c r="I13" s="130"/>
      <c r="K13" s="148"/>
      <c r="L13" s="149"/>
      <c r="M13" s="150"/>
      <c r="N13" s="150">
        <v>0</v>
      </c>
      <c r="O13" s="151"/>
      <c r="P13" s="126">
        <f>SUM(K13:O13)</f>
        <v>0</v>
      </c>
      <c r="Q13" s="133"/>
      <c r="R13" s="134"/>
      <c r="S13" s="134"/>
      <c r="T13" s="134"/>
      <c r="U13" s="134"/>
      <c r="V13" s="134"/>
      <c r="W13" s="134"/>
      <c r="X13" s="134"/>
      <c r="Y13" s="77">
        <f t="shared" si="1"/>
        <v>0</v>
      </c>
      <c r="AA13" s="6"/>
      <c r="AB13" s="6"/>
      <c r="AC13" s="6"/>
      <c r="AD13" s="6"/>
      <c r="AE13" s="6"/>
      <c r="AF13" s="6"/>
      <c r="AG13" s="6"/>
    </row>
    <row r="14" spans="2:33" x14ac:dyDescent="0.25">
      <c r="B14" s="136"/>
      <c r="C14" s="325"/>
      <c r="D14" s="46"/>
      <c r="E14" s="46"/>
      <c r="F14" s="46"/>
      <c r="G14" s="137"/>
      <c r="H14" s="138"/>
      <c r="I14" s="139"/>
      <c r="K14" s="154"/>
      <c r="L14" s="155"/>
      <c r="M14" s="155"/>
      <c r="N14" s="156"/>
      <c r="O14" s="155"/>
      <c r="P14" s="126"/>
      <c r="Q14" s="133"/>
      <c r="R14" s="258"/>
      <c r="S14" s="258"/>
      <c r="T14" s="258"/>
      <c r="U14" s="258"/>
      <c r="V14" s="258"/>
      <c r="W14" s="258"/>
      <c r="X14" s="258"/>
      <c r="Y14" s="258"/>
    </row>
    <row r="15" spans="2:33" x14ac:dyDescent="0.25">
      <c r="B15" s="143" t="s">
        <v>293</v>
      </c>
      <c r="C15" s="324"/>
      <c r="D15" s="117"/>
      <c r="E15" s="117"/>
      <c r="F15" s="117"/>
      <c r="G15" s="259"/>
      <c r="H15" s="116"/>
      <c r="I15" s="159"/>
      <c r="K15" s="160"/>
      <c r="L15" s="160"/>
      <c r="M15" s="161"/>
      <c r="N15" s="161"/>
      <c r="O15" s="161"/>
      <c r="P15" s="162"/>
      <c r="Q15" s="133"/>
      <c r="R15" s="164"/>
      <c r="S15" s="127"/>
      <c r="T15" s="127"/>
      <c r="U15" s="127"/>
      <c r="V15" s="127"/>
      <c r="W15" s="127"/>
      <c r="X15" s="127"/>
      <c r="AA15" s="5"/>
      <c r="AB15" s="5"/>
      <c r="AC15" s="5"/>
      <c r="AD15" s="5"/>
      <c r="AE15" s="5"/>
      <c r="AF15" s="5"/>
      <c r="AG15" s="5"/>
    </row>
    <row r="16" spans="2:33" x14ac:dyDescent="0.25">
      <c r="B16" s="120" t="s">
        <v>114</v>
      </c>
      <c r="C16" s="23"/>
      <c r="G16" s="206"/>
      <c r="H16" s="84"/>
      <c r="I16" s="167"/>
      <c r="J16" s="165"/>
      <c r="K16" s="149"/>
      <c r="L16" s="149"/>
      <c r="M16" s="168"/>
      <c r="N16" s="168"/>
      <c r="O16" s="168"/>
      <c r="P16" s="169"/>
      <c r="R16" s="127"/>
      <c r="S16" s="127"/>
      <c r="T16" s="127"/>
      <c r="U16" s="127"/>
      <c r="V16" s="127"/>
      <c r="W16" s="127"/>
      <c r="X16" s="127"/>
      <c r="AA16" s="5"/>
      <c r="AB16" s="5"/>
      <c r="AC16" s="5"/>
      <c r="AD16" s="5"/>
      <c r="AE16" s="5"/>
      <c r="AF16" s="5"/>
      <c r="AG16" s="5"/>
    </row>
    <row r="17" spans="2:33" x14ac:dyDescent="0.25">
      <c r="B17" s="84"/>
      <c r="C17" s="23" t="s">
        <v>122</v>
      </c>
      <c r="D17" t="str">
        <f>INDEX(Unit_Rates!$C$7:$K$113,MATCH($C17,Unit_Rates!$C$7:$C$113,0),5)</f>
        <v>Subtransmission</v>
      </c>
      <c r="E17" t="str">
        <f>INDEX(Unit_Rates!$C$7:$K$113,MATCH($C17,Unit_Rates!$C$7:$C$113,0),6)</f>
        <v>Augmentation</v>
      </c>
      <c r="F17" t="str">
        <f>D17&amp;E17</f>
        <v>SubtransmissionAugmentation</v>
      </c>
      <c r="G17" s="170">
        <f>INDEX(Unit_Rates!$C$7:$K$113,MATCH($C17,Unit_Rates!$C$7:$C$113,0),7)</f>
        <v>72.618999999999986</v>
      </c>
      <c r="H17" s="171"/>
      <c r="I17" s="123" t="s">
        <v>294</v>
      </c>
      <c r="J17" s="165"/>
      <c r="K17" s="172">
        <f>G17*$H17</f>
        <v>0</v>
      </c>
      <c r="L17" s="173">
        <f t="shared" ref="L17:L43" si="2">SUMPRODUCT(R$5:X$5,R17:X17)/Thousands</f>
        <v>0</v>
      </c>
      <c r="M17" s="174"/>
      <c r="N17" s="448"/>
      <c r="O17" s="448"/>
      <c r="P17" s="449"/>
      <c r="Q17" s="152">
        <f>P17-H17*VLOOKUP(C17,Unit_Rates!$C$7:$E$51,3,FALSE)</f>
        <v>0</v>
      </c>
      <c r="R17" s="134">
        <v>0</v>
      </c>
      <c r="S17" s="134">
        <v>0</v>
      </c>
      <c r="T17" s="134">
        <v>0</v>
      </c>
      <c r="U17" s="134">
        <v>0</v>
      </c>
      <c r="V17" s="134">
        <v>0</v>
      </c>
      <c r="W17" s="134">
        <v>0</v>
      </c>
      <c r="X17" s="134">
        <v>0</v>
      </c>
      <c r="Y17" s="77">
        <f>SUM(R17:X17)</f>
        <v>0</v>
      </c>
      <c r="AA17" s="5"/>
      <c r="AB17" s="5"/>
      <c r="AC17" s="5"/>
      <c r="AD17" s="5"/>
      <c r="AE17" s="5"/>
      <c r="AF17" s="5"/>
      <c r="AG17" s="5"/>
    </row>
    <row r="18" spans="2:33" x14ac:dyDescent="0.25">
      <c r="B18" s="84"/>
      <c r="C18" s="23" t="s">
        <v>124</v>
      </c>
      <c r="D18" t="str">
        <f>INDEX(Unit_Rates!$C$7:$K$113,MATCH($C18,Unit_Rates!$C$7:$C$113,0),5)</f>
        <v>Subtransmission</v>
      </c>
      <c r="E18" t="str">
        <f>INDEX(Unit_Rates!$C$7:$K$113,MATCH($C18,Unit_Rates!$C$7:$C$113,0),6)</f>
        <v>Augmentation</v>
      </c>
      <c r="F18" t="str">
        <f t="shared" ref="F18:F45" si="3">D18&amp;E18</f>
        <v>SubtransmissionAugmentation</v>
      </c>
      <c r="G18" s="170">
        <f>INDEX(Unit_Rates!$C$7:$K$113,MATCH($C18,Unit_Rates!$C$7:$C$113,0),7)</f>
        <v>112.82799999999997</v>
      </c>
      <c r="H18" s="171">
        <v>2</v>
      </c>
      <c r="I18" s="123" t="s">
        <v>294</v>
      </c>
      <c r="J18" s="165"/>
      <c r="K18" s="172">
        <f>G18*$H18</f>
        <v>225.65599999999995</v>
      </c>
      <c r="L18" s="173">
        <f t="shared" si="2"/>
        <v>0</v>
      </c>
      <c r="M18" s="174"/>
      <c r="N18" s="448"/>
      <c r="O18" s="448"/>
      <c r="P18" s="449"/>
      <c r="Q18" s="152">
        <f>P18-H18*VLOOKUP(C18,Unit_Rates!$C$7:$E$51,3,FALSE)</f>
        <v>0</v>
      </c>
      <c r="R18" s="134">
        <v>0</v>
      </c>
      <c r="S18" s="134">
        <v>0</v>
      </c>
      <c r="T18" s="134">
        <v>0</v>
      </c>
      <c r="U18" s="134">
        <v>0</v>
      </c>
      <c r="V18" s="134">
        <v>0</v>
      </c>
      <c r="W18" s="134">
        <v>0</v>
      </c>
      <c r="X18" s="134">
        <v>0</v>
      </c>
      <c r="Y18" s="77">
        <f t="shared" ref="Y18:Y45" si="4">SUM(R18:X18)</f>
        <v>0</v>
      </c>
      <c r="AA18" s="5"/>
      <c r="AB18" s="5"/>
      <c r="AC18" s="5"/>
      <c r="AD18" s="5"/>
      <c r="AE18" s="5"/>
      <c r="AF18" s="5"/>
      <c r="AG18" s="5"/>
    </row>
    <row r="19" spans="2:33" x14ac:dyDescent="0.25">
      <c r="B19" s="84"/>
      <c r="C19" s="23" t="s">
        <v>126</v>
      </c>
      <c r="D19" t="str">
        <f>INDEX(Unit_Rates!$C$7:$K$113,MATCH($C19,Unit_Rates!$C$7:$C$113,0),5)</f>
        <v>Subtransmission</v>
      </c>
      <c r="E19" t="str">
        <f>INDEX(Unit_Rates!$C$7:$K$113,MATCH($C19,Unit_Rates!$C$7:$C$113,0),6)</f>
        <v>Augmentation</v>
      </c>
      <c r="F19" t="str">
        <f t="shared" si="3"/>
        <v>SubtransmissionAugmentation</v>
      </c>
      <c r="G19" s="170">
        <f>INDEX(Unit_Rates!$C$7:$K$113,MATCH($C19,Unit_Rates!$C$7:$C$113,0),7)</f>
        <v>465.00233333333324</v>
      </c>
      <c r="H19" s="171"/>
      <c r="I19" s="123" t="s">
        <v>294</v>
      </c>
      <c r="J19" s="165"/>
      <c r="K19" s="172">
        <f>G19*$H19</f>
        <v>0</v>
      </c>
      <c r="L19" s="173">
        <f t="shared" ref="L19" si="5">SUMPRODUCT(R$5:X$5,R19:X19)/Thousands</f>
        <v>0</v>
      </c>
      <c r="M19" s="174"/>
      <c r="N19" s="448"/>
      <c r="O19" s="448"/>
      <c r="P19" s="449"/>
      <c r="Q19" s="152">
        <f>P19-H19*VLOOKUP(C19,Unit_Rates!$C$7:$E$51,3,FALSE)</f>
        <v>0</v>
      </c>
      <c r="R19" s="134"/>
      <c r="S19" s="134"/>
      <c r="T19" s="134"/>
      <c r="U19" s="134"/>
      <c r="V19" s="134"/>
      <c r="W19" s="134"/>
      <c r="X19" s="134"/>
      <c r="Y19" s="77"/>
      <c r="AA19" s="5"/>
      <c r="AB19" s="5"/>
      <c r="AC19" s="5"/>
      <c r="AD19" s="5"/>
      <c r="AE19" s="5"/>
      <c r="AF19" s="5"/>
      <c r="AG19" s="5"/>
    </row>
    <row r="20" spans="2:33" x14ac:dyDescent="0.25">
      <c r="B20" s="84"/>
      <c r="C20" s="23" t="s">
        <v>128</v>
      </c>
      <c r="D20" t="str">
        <f>D18</f>
        <v>Subtransmission</v>
      </c>
      <c r="E20" t="str">
        <f>E18</f>
        <v>Augmentation</v>
      </c>
      <c r="F20" t="str">
        <f t="shared" si="3"/>
        <v>SubtransmissionAugmentation</v>
      </c>
      <c r="G20" s="170">
        <f>INDEX(Unit_Rates!$C$7:$K$113,MATCH($C20,Unit_Rates!$C$7:$C$113,0),7)</f>
        <v>39.294999999999995</v>
      </c>
      <c r="H20" s="171"/>
      <c r="I20" s="175" t="s">
        <v>294</v>
      </c>
      <c r="J20" s="176"/>
      <c r="K20" s="177">
        <f>G20*$H20</f>
        <v>0</v>
      </c>
      <c r="L20" s="177">
        <f t="shared" si="2"/>
        <v>0</v>
      </c>
      <c r="M20" s="178"/>
      <c r="N20" s="448"/>
      <c r="O20" s="448"/>
      <c r="P20" s="450"/>
      <c r="Q20" s="152">
        <f>P20-H20*VLOOKUP(C20,Unit_Rates!$C$7:$E$51,3,FALSE)</f>
        <v>0</v>
      </c>
      <c r="R20" s="134">
        <v>0</v>
      </c>
      <c r="S20" s="134">
        <v>0</v>
      </c>
      <c r="T20" s="134">
        <v>0</v>
      </c>
      <c r="U20" s="134">
        <v>0</v>
      </c>
      <c r="V20" s="134">
        <v>0</v>
      </c>
      <c r="W20" s="134">
        <v>0</v>
      </c>
      <c r="X20" s="134">
        <v>0</v>
      </c>
      <c r="Y20" s="77">
        <f t="shared" si="4"/>
        <v>0</v>
      </c>
    </row>
    <row r="21" spans="2:33" x14ac:dyDescent="0.25">
      <c r="B21" s="84"/>
      <c r="C21" s="23" t="s">
        <v>130</v>
      </c>
      <c r="D21" t="str">
        <f>INDEX(Unit_Rates!$C$7:$K$113,MATCH($C21,Unit_Rates!$C$7:$C$113,0),5)</f>
        <v>Subtransmission</v>
      </c>
      <c r="E21" t="str">
        <f>INDEX(Unit_Rates!$C$7:$K$113,MATCH($C21,Unit_Rates!$C$7:$C$113,0),6)</f>
        <v>Augmentation</v>
      </c>
      <c r="F21" t="str">
        <f t="shared" si="3"/>
        <v>SubtransmissionAugmentation</v>
      </c>
      <c r="G21" s="170">
        <f>INDEX(Unit_Rates!$C$7:$K$113,MATCH($C21,Unit_Rates!$C$7:$C$113,0),7)</f>
        <v>42.974999999999994</v>
      </c>
      <c r="H21" s="171"/>
      <c r="I21" s="123" t="s">
        <v>294</v>
      </c>
      <c r="J21" s="165"/>
      <c r="K21" s="172">
        <f>G21*H21</f>
        <v>0</v>
      </c>
      <c r="L21" s="173">
        <f t="shared" si="2"/>
        <v>0</v>
      </c>
      <c r="M21" s="174"/>
      <c r="N21" s="448"/>
      <c r="O21" s="448"/>
      <c r="P21" s="449"/>
      <c r="Q21" s="152">
        <f>P21-H21*VLOOKUP(C21,Unit_Rates!$C$7:$E$51,3,FALSE)</f>
        <v>0</v>
      </c>
      <c r="R21" s="134">
        <v>0</v>
      </c>
      <c r="S21" s="134">
        <v>0</v>
      </c>
      <c r="T21" s="134">
        <v>0</v>
      </c>
      <c r="U21" s="134">
        <v>0</v>
      </c>
      <c r="V21" s="134">
        <v>0</v>
      </c>
      <c r="W21" s="134">
        <v>0</v>
      </c>
      <c r="X21" s="134">
        <v>0</v>
      </c>
      <c r="Y21" s="77">
        <f t="shared" si="4"/>
        <v>0</v>
      </c>
      <c r="AA21" s="5"/>
      <c r="AB21" s="5"/>
      <c r="AC21" s="5"/>
      <c r="AD21" s="5"/>
      <c r="AE21" s="5"/>
      <c r="AF21" s="5"/>
      <c r="AG21" s="5"/>
    </row>
    <row r="22" spans="2:33" x14ac:dyDescent="0.25">
      <c r="B22" s="84"/>
      <c r="C22" s="23" t="s">
        <v>132</v>
      </c>
      <c r="D22" t="str">
        <f>INDEX(Unit_Rates!$C$7:$K$113,MATCH($C22,Unit_Rates!$C$7:$C$113,0),5)</f>
        <v>Subtransmission</v>
      </c>
      <c r="E22" t="str">
        <f>INDEX(Unit_Rates!$C$7:$K$113,MATCH($C22,Unit_Rates!$C$7:$C$113,0),6)</f>
        <v>Augmentation</v>
      </c>
      <c r="F22" t="str">
        <f t="shared" si="3"/>
        <v>SubtransmissionAugmentation</v>
      </c>
      <c r="G22" s="170">
        <f>INDEX(Unit_Rates!$C$7:$K$113,MATCH($C22,Unit_Rates!$C$7:$C$113,0),7)</f>
        <v>0</v>
      </c>
      <c r="H22" s="171"/>
      <c r="I22" s="123" t="s">
        <v>294</v>
      </c>
      <c r="J22" s="165"/>
      <c r="K22" s="172">
        <f>G22*H22</f>
        <v>0</v>
      </c>
      <c r="L22" s="173">
        <f t="shared" si="2"/>
        <v>0</v>
      </c>
      <c r="M22" s="174"/>
      <c r="N22" s="448"/>
      <c r="O22" s="448"/>
      <c r="P22" s="449"/>
      <c r="Q22" s="152">
        <f>P22-H22*VLOOKUP(C22,Unit_Rates!$C$7:$E$51,3,FALSE)</f>
        <v>0</v>
      </c>
      <c r="R22" s="134">
        <v>0</v>
      </c>
      <c r="S22" s="134">
        <v>0</v>
      </c>
      <c r="T22" s="134">
        <v>0</v>
      </c>
      <c r="U22" s="134">
        <v>0</v>
      </c>
      <c r="V22" s="134">
        <v>0</v>
      </c>
      <c r="W22" s="134">
        <v>0</v>
      </c>
      <c r="X22" s="134">
        <v>0</v>
      </c>
      <c r="Y22" s="77">
        <f t="shared" si="4"/>
        <v>0</v>
      </c>
      <c r="AA22" s="5"/>
      <c r="AB22" s="5"/>
      <c r="AC22" s="5"/>
      <c r="AD22" s="5"/>
      <c r="AE22" s="5"/>
      <c r="AF22" s="5"/>
      <c r="AG22" s="5"/>
    </row>
    <row r="23" spans="2:33" x14ac:dyDescent="0.25">
      <c r="B23" s="84"/>
      <c r="C23" s="23" t="s">
        <v>133</v>
      </c>
      <c r="D23" t="str">
        <f>INDEX(Unit_Rates!$C$7:$K$113,MATCH($C23,Unit_Rates!$C$7:$C$113,0),5)</f>
        <v>SCADA/Network control</v>
      </c>
      <c r="E23" t="str">
        <f>INDEX(Unit_Rates!$C$7:$K$113,MATCH($C23,Unit_Rates!$C$7:$C$113,0),6)</f>
        <v>Augmentation</v>
      </c>
      <c r="F23" t="str">
        <f t="shared" si="3"/>
        <v>SCADA/Network controlAugmentation</v>
      </c>
      <c r="G23" s="170">
        <f>INDEX(Unit_Rates!$C$7:$K$113,MATCH($C23,Unit_Rates!$C$7:$C$113,0),7)</f>
        <v>1158.2999999999995</v>
      </c>
      <c r="H23" s="171">
        <v>1</v>
      </c>
      <c r="I23" s="123" t="s">
        <v>294</v>
      </c>
      <c r="J23" s="165"/>
      <c r="K23" s="172">
        <f>G23*H23</f>
        <v>1158.2999999999995</v>
      </c>
      <c r="L23" s="173">
        <f t="shared" si="2"/>
        <v>0</v>
      </c>
      <c r="M23" s="174"/>
      <c r="N23" s="448"/>
      <c r="O23" s="448"/>
      <c r="P23" s="449"/>
      <c r="Q23" s="152">
        <f>P23-H23*VLOOKUP(C23,Unit_Rates!$C$7:$E$51,3,FALSE)</f>
        <v>0</v>
      </c>
      <c r="R23" s="134">
        <v>0</v>
      </c>
      <c r="S23" s="134">
        <v>0</v>
      </c>
      <c r="T23" s="134">
        <v>0</v>
      </c>
      <c r="U23" s="134">
        <v>0</v>
      </c>
      <c r="V23" s="134">
        <v>0</v>
      </c>
      <c r="W23" s="134">
        <v>0</v>
      </c>
      <c r="X23" s="134">
        <v>0</v>
      </c>
      <c r="Y23" s="77">
        <f t="shared" si="4"/>
        <v>0</v>
      </c>
      <c r="AA23" s="5"/>
      <c r="AB23" s="5"/>
      <c r="AC23" s="5"/>
      <c r="AD23" s="5"/>
      <c r="AE23" s="5"/>
      <c r="AF23" s="5"/>
      <c r="AG23" s="5"/>
    </row>
    <row r="24" spans="2:33" x14ac:dyDescent="0.25">
      <c r="B24" s="84"/>
      <c r="C24" s="23" t="s">
        <v>135</v>
      </c>
      <c r="D24" t="str">
        <f>INDEX(Unit_Rates!$C$7:$K$113,MATCH($C24,Unit_Rates!$C$7:$C$113,0),5)</f>
        <v>Subtransmission</v>
      </c>
      <c r="E24" t="str">
        <f>INDEX(Unit_Rates!$C$7:$K$113,MATCH($C24,Unit_Rates!$C$7:$C$113,0),6)</f>
        <v>Augmentation</v>
      </c>
      <c r="F24" t="str">
        <f t="shared" si="3"/>
        <v>SubtransmissionAugmentation</v>
      </c>
      <c r="G24" s="170">
        <f>INDEX(Unit_Rates!$C$7:$K$113,MATCH($C24,Unit_Rates!$C$7:$C$113,0),7)</f>
        <v>0</v>
      </c>
      <c r="H24" s="171">
        <v>1</v>
      </c>
      <c r="I24" s="123" t="s">
        <v>294</v>
      </c>
      <c r="J24" s="165"/>
      <c r="K24" s="172">
        <f>G24*H24</f>
        <v>0</v>
      </c>
      <c r="L24" s="173">
        <f t="shared" si="2"/>
        <v>0</v>
      </c>
      <c r="M24" s="174"/>
      <c r="N24" s="448"/>
      <c r="O24" s="448"/>
      <c r="P24" s="449"/>
      <c r="Q24" s="152">
        <f>P24-H24*VLOOKUP(C24,Unit_Rates!$C$7:$E$51,3,FALSE)</f>
        <v>0</v>
      </c>
      <c r="R24" s="134">
        <v>0</v>
      </c>
      <c r="S24" s="134">
        <v>0</v>
      </c>
      <c r="T24" s="134">
        <v>0</v>
      </c>
      <c r="U24" s="134">
        <v>0</v>
      </c>
      <c r="V24" s="134">
        <v>0</v>
      </c>
      <c r="W24" s="134">
        <v>0</v>
      </c>
      <c r="X24" s="134">
        <v>0</v>
      </c>
      <c r="Y24" s="77">
        <f t="shared" si="4"/>
        <v>0</v>
      </c>
      <c r="AA24" s="5"/>
      <c r="AB24" s="5"/>
      <c r="AC24" s="5"/>
      <c r="AD24" s="5"/>
      <c r="AE24" s="5"/>
      <c r="AF24" s="5"/>
      <c r="AG24" s="5"/>
    </row>
    <row r="25" spans="2:33" x14ac:dyDescent="0.25">
      <c r="B25" s="84"/>
      <c r="C25" s="23" t="s">
        <v>137</v>
      </c>
      <c r="D25" t="str">
        <f>INDEX(Unit_Rates!$C$7:$K$113,MATCH($C25,Unit_Rates!$C$7:$C$113,0),5)</f>
        <v>Subtransmission</v>
      </c>
      <c r="E25" t="str">
        <f>INDEX(Unit_Rates!$C$7:$K$113,MATCH($C25,Unit_Rates!$C$7:$C$113,0),6)</f>
        <v>Augmentation</v>
      </c>
      <c r="F25" t="str">
        <f t="shared" si="3"/>
        <v>SubtransmissionAugmentation</v>
      </c>
      <c r="G25" s="170">
        <f>INDEX(Unit_Rates!$C$7:$K$113,MATCH($C25,Unit_Rates!$C$7:$C$113,0),7)</f>
        <v>1353.9999999999995</v>
      </c>
      <c r="H25" s="171"/>
      <c r="I25" s="123" t="s">
        <v>294</v>
      </c>
      <c r="J25" s="165"/>
      <c r="K25" s="172">
        <f t="shared" ref="K25:K45" si="6">G25*H25</f>
        <v>0</v>
      </c>
      <c r="L25" s="173">
        <f t="shared" si="2"/>
        <v>0</v>
      </c>
      <c r="M25" s="174"/>
      <c r="N25" s="448"/>
      <c r="O25" s="448"/>
      <c r="P25" s="449"/>
      <c r="Q25" s="152">
        <f>P25-H25*VLOOKUP(C25,Unit_Rates!$C$7:$E$51,3,FALSE)</f>
        <v>0</v>
      </c>
      <c r="R25" s="134">
        <v>0</v>
      </c>
      <c r="S25" s="134">
        <v>0</v>
      </c>
      <c r="T25" s="134">
        <v>0</v>
      </c>
      <c r="U25" s="134">
        <v>0</v>
      </c>
      <c r="V25" s="134">
        <v>0</v>
      </c>
      <c r="W25" s="134">
        <v>0</v>
      </c>
      <c r="X25" s="134">
        <v>0</v>
      </c>
      <c r="Y25" s="77">
        <f t="shared" si="4"/>
        <v>0</v>
      </c>
    </row>
    <row r="26" spans="2:33" x14ac:dyDescent="0.25">
      <c r="B26" s="84"/>
      <c r="C26" s="23" t="s">
        <v>139</v>
      </c>
      <c r="D26" t="str">
        <f>INDEX(Unit_Rates!$C$7:$K$113,MATCH($C26,Unit_Rates!$C$7:$C$113,0),5)</f>
        <v>Subtransmission</v>
      </c>
      <c r="E26" t="str">
        <f>INDEX(Unit_Rates!$C$7:$K$113,MATCH($C26,Unit_Rates!$C$7:$C$113,0),6)</f>
        <v>Augmentation</v>
      </c>
      <c r="F26" t="str">
        <f t="shared" si="3"/>
        <v>SubtransmissionAugmentation</v>
      </c>
      <c r="G26" s="170">
        <f>INDEX(Unit_Rates!$C$7:$K$113,MATCH($C26,Unit_Rates!$C$7:$C$113,0),7)</f>
        <v>1461.1162790697672</v>
      </c>
      <c r="H26" s="171"/>
      <c r="I26" s="123" t="s">
        <v>294</v>
      </c>
      <c r="J26" s="165"/>
      <c r="K26" s="172">
        <f t="shared" si="6"/>
        <v>0</v>
      </c>
      <c r="L26" s="173">
        <f t="shared" si="2"/>
        <v>0</v>
      </c>
      <c r="M26" s="174"/>
      <c r="N26" s="448"/>
      <c r="O26" s="448"/>
      <c r="P26" s="449"/>
      <c r="Q26" s="152">
        <f>P26-H26*VLOOKUP(C26,Unit_Rates!$C$7:$E$51,3,FALSE)</f>
        <v>0</v>
      </c>
      <c r="R26" s="134">
        <v>0</v>
      </c>
      <c r="S26" s="134">
        <v>0</v>
      </c>
      <c r="T26" s="134">
        <v>0</v>
      </c>
      <c r="U26" s="134">
        <v>0</v>
      </c>
      <c r="V26" s="134">
        <v>0</v>
      </c>
      <c r="W26" s="134">
        <v>0</v>
      </c>
      <c r="X26" s="134">
        <v>0</v>
      </c>
      <c r="Y26" s="77">
        <f t="shared" si="4"/>
        <v>0</v>
      </c>
    </row>
    <row r="27" spans="2:33" x14ac:dyDescent="0.25">
      <c r="B27" s="84"/>
      <c r="C27" s="23" t="s">
        <v>141</v>
      </c>
      <c r="D27" t="str">
        <f>INDEX(Unit_Rates!$C$7:$K$113,MATCH($C27,Unit_Rates!$C$7:$C$113,0),5)</f>
        <v>Subtransmission</v>
      </c>
      <c r="E27" t="str">
        <f>INDEX(Unit_Rates!$C$7:$K$113,MATCH($C27,Unit_Rates!$C$7:$C$113,0),6)</f>
        <v>Augmentation</v>
      </c>
      <c r="F27" t="str">
        <f t="shared" si="3"/>
        <v>SubtransmissionAugmentation</v>
      </c>
      <c r="G27" s="170">
        <f>INDEX(Unit_Rates!$C$7:$K$113,MATCH($C27,Unit_Rates!$C$7:$C$113,0),7)</f>
        <v>699.99999999999989</v>
      </c>
      <c r="H27" s="171"/>
      <c r="I27" s="123" t="s">
        <v>294</v>
      </c>
      <c r="J27" s="165"/>
      <c r="K27" s="172">
        <f t="shared" si="6"/>
        <v>0</v>
      </c>
      <c r="L27" s="173">
        <f t="shared" ref="L27" si="7">SUMPRODUCT(R$5:X$5,R27:X27)/Thousands</f>
        <v>0</v>
      </c>
      <c r="M27" s="174"/>
      <c r="N27" s="448"/>
      <c r="O27" s="448"/>
      <c r="P27" s="449"/>
      <c r="Q27" s="152">
        <f>P27-H27*VLOOKUP(C27,Unit_Rates!$C$7:$E$51,3,FALSE)</f>
        <v>0</v>
      </c>
      <c r="R27" s="134">
        <v>0</v>
      </c>
      <c r="S27" s="134">
        <v>0</v>
      </c>
      <c r="T27" s="134">
        <v>0</v>
      </c>
      <c r="U27" s="134">
        <v>0</v>
      </c>
      <c r="V27" s="134">
        <v>0</v>
      </c>
      <c r="W27" s="134">
        <v>0</v>
      </c>
      <c r="X27" s="134">
        <v>0</v>
      </c>
      <c r="Y27" s="77">
        <f t="shared" si="4"/>
        <v>0</v>
      </c>
    </row>
    <row r="28" spans="2:33" x14ac:dyDescent="0.25">
      <c r="B28" s="84"/>
      <c r="C28" s="23" t="s">
        <v>147</v>
      </c>
      <c r="D28" t="str">
        <f>INDEX(Unit_Rates!$C$7:$K$113,MATCH($C28,Unit_Rates!$C$7:$C$113,0),5)</f>
        <v>Subtransmission</v>
      </c>
      <c r="E28" t="str">
        <f>INDEX(Unit_Rates!$C$7:$K$113,MATCH($C28,Unit_Rates!$C$7:$C$113,0),6)</f>
        <v>Augmentation</v>
      </c>
      <c r="F28" t="str">
        <f t="shared" si="3"/>
        <v>SubtransmissionAugmentation</v>
      </c>
      <c r="G28" s="170">
        <f>INDEX(Unit_Rates!$C$7:$K$113,MATCH($C28,Unit_Rates!$C$7:$C$113,0),7)</f>
        <v>91.292437209302321</v>
      </c>
      <c r="H28" s="171"/>
      <c r="I28" s="123" t="s">
        <v>294</v>
      </c>
      <c r="J28" s="165"/>
      <c r="K28" s="172">
        <f t="shared" si="6"/>
        <v>0</v>
      </c>
      <c r="L28" s="173">
        <f t="shared" si="2"/>
        <v>0</v>
      </c>
      <c r="M28" s="174"/>
      <c r="N28" s="448"/>
      <c r="O28" s="448"/>
      <c r="P28" s="449"/>
      <c r="Q28" s="152">
        <f>P28-H28*VLOOKUP(C28,Unit_Rates!$C$7:$E$51,3,FALSE)</f>
        <v>0</v>
      </c>
      <c r="R28" s="134">
        <v>0</v>
      </c>
      <c r="S28" s="134">
        <v>0</v>
      </c>
      <c r="T28" s="134">
        <v>0</v>
      </c>
      <c r="U28" s="134">
        <v>0</v>
      </c>
      <c r="V28" s="134">
        <v>0</v>
      </c>
      <c r="W28" s="134">
        <v>0</v>
      </c>
      <c r="X28" s="134">
        <v>0</v>
      </c>
      <c r="Y28" s="77">
        <f t="shared" si="4"/>
        <v>0</v>
      </c>
    </row>
    <row r="29" spans="2:33" x14ac:dyDescent="0.25">
      <c r="B29" s="84"/>
      <c r="C29" s="23" t="s">
        <v>149</v>
      </c>
      <c r="D29" t="str">
        <f>INDEX(Unit_Rates!$C$7:$K$113,MATCH($C29,Unit_Rates!$C$7:$C$113,0),5)</f>
        <v>Subtransmission</v>
      </c>
      <c r="E29" t="str">
        <f>INDEX(Unit_Rates!$C$7:$K$113,MATCH($C29,Unit_Rates!$C$7:$C$113,0),6)</f>
        <v>Augmentation</v>
      </c>
      <c r="F29" t="str">
        <f t="shared" si="3"/>
        <v>SubtransmissionAugmentation</v>
      </c>
      <c r="G29" s="170">
        <f>INDEX(Unit_Rates!$C$7:$K$113,MATCH($C29,Unit_Rates!$C$7:$C$113,0),7)</f>
        <v>0</v>
      </c>
      <c r="H29" s="171"/>
      <c r="I29" s="123" t="s">
        <v>294</v>
      </c>
      <c r="J29" s="165"/>
      <c r="K29" s="172">
        <f t="shared" si="6"/>
        <v>0</v>
      </c>
      <c r="L29" s="173">
        <f t="shared" si="2"/>
        <v>0</v>
      </c>
      <c r="M29" s="174"/>
      <c r="N29" s="448"/>
      <c r="O29" s="448"/>
      <c r="P29" s="449"/>
      <c r="Q29" s="152">
        <f>P29-H29*VLOOKUP(C29,Unit_Rates!$C$7:$E$51,3,FALSE)</f>
        <v>0</v>
      </c>
      <c r="R29" s="134">
        <v>0</v>
      </c>
      <c r="S29" s="134">
        <v>0</v>
      </c>
      <c r="T29" s="134">
        <v>0</v>
      </c>
      <c r="U29" s="134">
        <v>0</v>
      </c>
      <c r="V29" s="134">
        <v>0</v>
      </c>
      <c r="W29" s="134">
        <v>0</v>
      </c>
      <c r="X29" s="134">
        <v>0</v>
      </c>
      <c r="Y29" s="77">
        <f t="shared" si="4"/>
        <v>0</v>
      </c>
    </row>
    <row r="30" spans="2:33" x14ac:dyDescent="0.25">
      <c r="B30" s="84"/>
      <c r="C30" s="23" t="s">
        <v>150</v>
      </c>
      <c r="D30" t="str">
        <f>INDEX(Unit_Rates!$C$7:$K$113,MATCH($C30,Unit_Rates!$C$7:$C$113,0),5)</f>
        <v>Subtransmission</v>
      </c>
      <c r="E30" t="str">
        <f>INDEX(Unit_Rates!$C$7:$K$113,MATCH($C30,Unit_Rates!$C$7:$C$113,0),6)</f>
        <v>Augmentation</v>
      </c>
      <c r="F30" t="str">
        <f t="shared" si="3"/>
        <v>SubtransmissionAugmentation</v>
      </c>
      <c r="G30" s="170">
        <f>INDEX(Unit_Rates!$C$7:$K$113,MATCH($C30,Unit_Rates!$C$7:$C$113,0),7)</f>
        <v>107.00599999999997</v>
      </c>
      <c r="H30" s="171">
        <v>1</v>
      </c>
      <c r="I30" s="123" t="s">
        <v>294</v>
      </c>
      <c r="J30" s="165"/>
      <c r="K30" s="172">
        <f t="shared" si="6"/>
        <v>107.00599999999997</v>
      </c>
      <c r="L30" s="173">
        <f t="shared" si="2"/>
        <v>0</v>
      </c>
      <c r="M30" s="174"/>
      <c r="N30" s="448"/>
      <c r="O30" s="448"/>
      <c r="P30" s="449"/>
      <c r="Q30" s="152">
        <f>P30-H30*VLOOKUP(C30,Unit_Rates!$C$7:$E$51,3,FALSE)</f>
        <v>0</v>
      </c>
      <c r="R30" s="134">
        <v>0</v>
      </c>
      <c r="S30" s="134">
        <v>0</v>
      </c>
      <c r="T30" s="134">
        <v>0</v>
      </c>
      <c r="U30" s="134">
        <v>0</v>
      </c>
      <c r="V30" s="134">
        <v>0</v>
      </c>
      <c r="W30" s="134">
        <v>0</v>
      </c>
      <c r="X30" s="134">
        <v>0</v>
      </c>
      <c r="Y30" s="77">
        <f t="shared" si="4"/>
        <v>0</v>
      </c>
    </row>
    <row r="31" spans="2:33" x14ac:dyDescent="0.25">
      <c r="B31" s="84"/>
      <c r="C31" s="23" t="s">
        <v>152</v>
      </c>
      <c r="D31" t="str">
        <f>INDEX(Unit_Rates!$C$7:$K$113,MATCH($C31,Unit_Rates!$C$7:$C$113,0),5)</f>
        <v>Subtransmission</v>
      </c>
      <c r="E31" t="str">
        <f>INDEX(Unit_Rates!$C$7:$K$113,MATCH($C31,Unit_Rates!$C$7:$C$113,0),6)</f>
        <v>Augmentation</v>
      </c>
      <c r="F31" t="str">
        <f t="shared" si="3"/>
        <v>SubtransmissionAugmentation</v>
      </c>
      <c r="G31" s="170">
        <f>INDEX(Unit_Rates!$C$7:$K$113,MATCH($C31,Unit_Rates!$C$7:$C$113,0),7)</f>
        <v>7.6639999999999979</v>
      </c>
      <c r="H31" s="171">
        <v>2</v>
      </c>
      <c r="I31" s="123" t="s">
        <v>294</v>
      </c>
      <c r="J31" s="165"/>
      <c r="K31" s="172">
        <f t="shared" si="6"/>
        <v>15.327999999999996</v>
      </c>
      <c r="L31" s="173">
        <f t="shared" si="2"/>
        <v>0</v>
      </c>
      <c r="M31" s="174"/>
      <c r="N31" s="448"/>
      <c r="O31" s="448"/>
      <c r="P31" s="449"/>
      <c r="Q31" s="152">
        <f>P31-H31*VLOOKUP(C31,Unit_Rates!$C$7:$E$51,3,FALSE)</f>
        <v>0</v>
      </c>
      <c r="R31" s="134">
        <v>0</v>
      </c>
      <c r="S31" s="134">
        <v>0</v>
      </c>
      <c r="T31" s="134">
        <v>0</v>
      </c>
      <c r="U31" s="134">
        <v>0</v>
      </c>
      <c r="V31" s="134">
        <v>0</v>
      </c>
      <c r="W31" s="134">
        <v>0</v>
      </c>
      <c r="X31" s="134">
        <v>0</v>
      </c>
      <c r="Y31" s="77">
        <f t="shared" si="4"/>
        <v>0</v>
      </c>
    </row>
    <row r="32" spans="2:33" x14ac:dyDescent="0.25">
      <c r="B32" s="84"/>
      <c r="C32" s="23" t="s">
        <v>156</v>
      </c>
      <c r="D32" t="str">
        <f>INDEX(Unit_Rates!$C$7:$K$113,MATCH($C32,Unit_Rates!$C$7:$C$113,0),5)</f>
        <v>Subtransmission</v>
      </c>
      <c r="E32" t="str">
        <f>INDEX(Unit_Rates!$C$7:$K$113,MATCH($C32,Unit_Rates!$C$7:$C$113,0),6)</f>
        <v>Augmentation</v>
      </c>
      <c r="F32" t="str">
        <f t="shared" si="3"/>
        <v>SubtransmissionAugmentation</v>
      </c>
      <c r="G32" s="170">
        <f>INDEX(Unit_Rates!$C$7:$K$113,MATCH($C32,Unit_Rates!$C$7:$C$113,0),7)</f>
        <v>27.162999999999993</v>
      </c>
      <c r="H32" s="171"/>
      <c r="I32" s="123" t="s">
        <v>294</v>
      </c>
      <c r="J32" s="165"/>
      <c r="K32" s="172">
        <f t="shared" si="6"/>
        <v>0</v>
      </c>
      <c r="L32" s="173">
        <f t="shared" si="2"/>
        <v>0</v>
      </c>
      <c r="M32" s="174"/>
      <c r="N32" s="448"/>
      <c r="O32" s="448"/>
      <c r="P32" s="449"/>
      <c r="Q32" s="152">
        <f>P32-H32*VLOOKUP(C32,Unit_Rates!$C$7:$E$51,3,FALSE)</f>
        <v>0</v>
      </c>
      <c r="R32" s="134">
        <v>0</v>
      </c>
      <c r="S32" s="134">
        <v>0</v>
      </c>
      <c r="T32" s="134">
        <v>0</v>
      </c>
      <c r="U32" s="134">
        <v>0</v>
      </c>
      <c r="V32" s="134">
        <v>0</v>
      </c>
      <c r="W32" s="134">
        <v>0</v>
      </c>
      <c r="X32" s="134">
        <v>0</v>
      </c>
      <c r="Y32" s="77">
        <f t="shared" si="4"/>
        <v>0</v>
      </c>
    </row>
    <row r="33" spans="2:25" x14ac:dyDescent="0.25">
      <c r="B33" s="84"/>
      <c r="C33" s="23" t="s">
        <v>157</v>
      </c>
      <c r="D33" t="str">
        <f>INDEX(Unit_Rates!$C$7:$K$113,MATCH($C33,Unit_Rates!$C$7:$C$113,0),5)</f>
        <v>Subtransmission</v>
      </c>
      <c r="E33" t="str">
        <f>INDEX(Unit_Rates!$C$7:$K$113,MATCH($C33,Unit_Rates!$C$7:$C$113,0),6)</f>
        <v>Augmentation</v>
      </c>
      <c r="F33" t="str">
        <f t="shared" si="3"/>
        <v>SubtransmissionAugmentation</v>
      </c>
      <c r="G33" s="170">
        <f>INDEX(Unit_Rates!$C$7:$K$113,MATCH($C33,Unit_Rates!$C$7:$C$113,0),7)</f>
        <v>0</v>
      </c>
      <c r="H33" s="171">
        <v>1</v>
      </c>
      <c r="I33" s="123" t="s">
        <v>294</v>
      </c>
      <c r="J33" s="165"/>
      <c r="K33" s="172">
        <f t="shared" si="6"/>
        <v>0</v>
      </c>
      <c r="L33" s="173">
        <f t="shared" ref="L33" si="8">SUMPRODUCT(R$5:X$5,R33:X33)/Thousands</f>
        <v>0</v>
      </c>
      <c r="M33" s="174"/>
      <c r="N33" s="448"/>
      <c r="O33" s="448"/>
      <c r="P33" s="449"/>
      <c r="Q33" s="152">
        <f>P33-H33*VLOOKUP(C33,Unit_Rates!$C$7:$E$51,3,FALSE)</f>
        <v>0</v>
      </c>
      <c r="R33" s="134">
        <v>0</v>
      </c>
      <c r="S33" s="134">
        <v>0</v>
      </c>
      <c r="T33" s="134">
        <v>0</v>
      </c>
      <c r="U33" s="134">
        <v>0</v>
      </c>
      <c r="V33" s="134">
        <v>0</v>
      </c>
      <c r="W33" s="134">
        <v>0</v>
      </c>
      <c r="X33" s="134">
        <v>0</v>
      </c>
      <c r="Y33" s="77">
        <f t="shared" si="4"/>
        <v>0</v>
      </c>
    </row>
    <row r="34" spans="2:25" x14ac:dyDescent="0.25">
      <c r="B34" s="84"/>
      <c r="C34" s="23" t="s">
        <v>155</v>
      </c>
      <c r="D34" t="str">
        <f>INDEX(Unit_Rates!$C$7:$K$113,MATCH($C34,Unit_Rates!$C$7:$C$113,0),5)</f>
        <v>Subtransmission</v>
      </c>
      <c r="E34" t="str">
        <f>INDEX(Unit_Rates!$C$7:$K$113,MATCH($C34,Unit_Rates!$C$7:$C$113,0),6)</f>
        <v>Augmentation</v>
      </c>
      <c r="F34" t="str">
        <f t="shared" si="3"/>
        <v>SubtransmissionAugmentation</v>
      </c>
      <c r="G34" s="170">
        <f>INDEX(Unit_Rates!$C$7:$K$113,MATCH($C34,Unit_Rates!$C$7:$C$113,0),7)</f>
        <v>0</v>
      </c>
      <c r="H34" s="171">
        <v>1</v>
      </c>
      <c r="I34" s="123" t="s">
        <v>294</v>
      </c>
      <c r="J34" s="165"/>
      <c r="K34" s="172">
        <f t="shared" si="6"/>
        <v>0</v>
      </c>
      <c r="L34" s="173">
        <f t="shared" si="2"/>
        <v>0</v>
      </c>
      <c r="M34" s="174"/>
      <c r="N34" s="448"/>
      <c r="O34" s="448"/>
      <c r="P34" s="449"/>
      <c r="Q34" s="152">
        <f>P34-H34*VLOOKUP(C34,Unit_Rates!$C$7:$E$51,3,FALSE)</f>
        <v>0</v>
      </c>
      <c r="R34" s="134">
        <v>0</v>
      </c>
      <c r="S34" s="134">
        <v>0</v>
      </c>
      <c r="T34" s="134">
        <v>0</v>
      </c>
      <c r="U34" s="134">
        <v>0</v>
      </c>
      <c r="V34" s="134">
        <v>0</v>
      </c>
      <c r="W34" s="134">
        <v>0</v>
      </c>
      <c r="X34" s="134">
        <v>0</v>
      </c>
      <c r="Y34" s="77">
        <f t="shared" si="4"/>
        <v>0</v>
      </c>
    </row>
    <row r="35" spans="2:25" x14ac:dyDescent="0.25">
      <c r="B35" s="84"/>
      <c r="C35" s="23" t="s">
        <v>159</v>
      </c>
      <c r="D35" t="str">
        <f>INDEX(Unit_Rates!$C$7:$K$113,MATCH($C35,Unit_Rates!$C$7:$C$113,0),5)</f>
        <v>Subtransmission</v>
      </c>
      <c r="E35" t="str">
        <f>INDEX(Unit_Rates!$C$7:$K$113,MATCH($C35,Unit_Rates!$C$7:$C$113,0),6)</f>
        <v>Augmentation</v>
      </c>
      <c r="F35" t="str">
        <f t="shared" si="3"/>
        <v>SubtransmissionAugmentation</v>
      </c>
      <c r="G35" s="170">
        <f>INDEX(Unit_Rates!$C$7:$K$113,MATCH($C35,Unit_Rates!$C$7:$C$113,0),7)</f>
        <v>0.61999999999999977</v>
      </c>
      <c r="H35" s="171">
        <v>3</v>
      </c>
      <c r="I35" s="123" t="s">
        <v>294</v>
      </c>
      <c r="J35" s="165"/>
      <c r="K35" s="172">
        <f t="shared" si="6"/>
        <v>1.8599999999999994</v>
      </c>
      <c r="L35" s="173">
        <f t="shared" si="2"/>
        <v>0</v>
      </c>
      <c r="M35" s="174"/>
      <c r="N35" s="448"/>
      <c r="O35" s="448"/>
      <c r="P35" s="449"/>
      <c r="Q35" s="152">
        <f>P35-H35*VLOOKUP(C35,Unit_Rates!$C$7:$E$51,3,FALSE)</f>
        <v>0</v>
      </c>
      <c r="R35" s="134">
        <v>0</v>
      </c>
      <c r="S35" s="134">
        <v>0</v>
      </c>
      <c r="T35" s="134">
        <v>0</v>
      </c>
      <c r="U35" s="134">
        <v>0</v>
      </c>
      <c r="V35" s="134">
        <v>0</v>
      </c>
      <c r="W35" s="134">
        <v>0</v>
      </c>
      <c r="X35" s="134">
        <v>0</v>
      </c>
      <c r="Y35" s="77">
        <f t="shared" si="4"/>
        <v>0</v>
      </c>
    </row>
    <row r="36" spans="2:25" x14ac:dyDescent="0.25">
      <c r="B36" s="84"/>
      <c r="C36" s="23" t="s">
        <v>179</v>
      </c>
      <c r="D36" t="str">
        <f>INDEX(Unit_Rates!$C$7:$K$113,MATCH($C36,Unit_Rates!$C$7:$C$113,0),5)</f>
        <v>Subtransmission</v>
      </c>
      <c r="E36" t="str">
        <f>INDEX(Unit_Rates!$C$7:$K$113,MATCH($C36,Unit_Rates!$C$7:$C$113,0),6)</f>
        <v>Augmentation</v>
      </c>
      <c r="F36" t="str">
        <f t="shared" si="3"/>
        <v>SubtransmissionAugmentation</v>
      </c>
      <c r="G36" s="170">
        <f>INDEX(Unit_Rates!$C$7:$K$113,MATCH($C36,Unit_Rates!$C$7:$C$113,0),7)</f>
        <v>0</v>
      </c>
      <c r="H36" s="171">
        <v>1</v>
      </c>
      <c r="I36" s="123" t="s">
        <v>294</v>
      </c>
      <c r="J36" s="165"/>
      <c r="K36" s="172">
        <f t="shared" si="6"/>
        <v>0</v>
      </c>
      <c r="L36" s="173">
        <f t="shared" si="2"/>
        <v>0</v>
      </c>
      <c r="M36" s="174"/>
      <c r="N36" s="448"/>
      <c r="O36" s="448"/>
      <c r="P36" s="449"/>
      <c r="Q36" s="152">
        <f>P36-H36*VLOOKUP(C36,Unit_Rates!$C$7:$E$51,3,FALSE)</f>
        <v>0</v>
      </c>
      <c r="R36" s="134">
        <v>0</v>
      </c>
      <c r="S36" s="134">
        <v>0</v>
      </c>
      <c r="T36" s="134">
        <v>0</v>
      </c>
      <c r="U36" s="134">
        <v>0</v>
      </c>
      <c r="V36" s="134">
        <v>0</v>
      </c>
      <c r="W36" s="134">
        <v>0</v>
      </c>
      <c r="X36" s="134">
        <v>0</v>
      </c>
      <c r="Y36" s="77">
        <f t="shared" si="4"/>
        <v>0</v>
      </c>
    </row>
    <row r="37" spans="2:25" x14ac:dyDescent="0.25">
      <c r="B37" s="84"/>
      <c r="C37" s="23" t="s">
        <v>161</v>
      </c>
      <c r="D37" t="str">
        <f>INDEX(Unit_Rates!$C$7:$K$113,MATCH($C37,Unit_Rates!$C$7:$C$113,0),5)</f>
        <v>Subtransmission</v>
      </c>
      <c r="E37" t="str">
        <f>INDEX(Unit_Rates!$C$7:$K$113,MATCH($C37,Unit_Rates!$C$7:$C$113,0),6)</f>
        <v>Augmentation</v>
      </c>
      <c r="F37" t="str">
        <f t="shared" si="3"/>
        <v>SubtransmissionAugmentation</v>
      </c>
      <c r="G37" s="170">
        <f>INDEX(Unit_Rates!$C$7:$K$113,MATCH($C37,Unit_Rates!$C$7:$C$113,0),7)</f>
        <v>93.853999999999985</v>
      </c>
      <c r="H37" s="171">
        <v>1</v>
      </c>
      <c r="I37" s="123" t="s">
        <v>294</v>
      </c>
      <c r="J37" s="165"/>
      <c r="K37" s="172">
        <f t="shared" si="6"/>
        <v>93.853999999999985</v>
      </c>
      <c r="L37" s="173">
        <f t="shared" si="2"/>
        <v>0</v>
      </c>
      <c r="M37" s="174"/>
      <c r="N37" s="448"/>
      <c r="O37" s="448"/>
      <c r="P37" s="449"/>
      <c r="Q37" s="152">
        <f>P37-H37*VLOOKUP(C37,Unit_Rates!$C$7:$E$51,3,FALSE)</f>
        <v>0</v>
      </c>
      <c r="R37" s="134">
        <v>0</v>
      </c>
      <c r="S37" s="134">
        <v>0</v>
      </c>
      <c r="T37" s="134">
        <v>0</v>
      </c>
      <c r="U37" s="134">
        <v>0</v>
      </c>
      <c r="V37" s="134">
        <v>0</v>
      </c>
      <c r="W37" s="134">
        <v>0</v>
      </c>
      <c r="X37" s="134">
        <v>0</v>
      </c>
      <c r="Y37" s="77">
        <f t="shared" si="4"/>
        <v>0</v>
      </c>
    </row>
    <row r="38" spans="2:25" x14ac:dyDescent="0.25">
      <c r="B38" s="84"/>
      <c r="C38" s="23" t="s">
        <v>163</v>
      </c>
      <c r="D38" t="str">
        <f>INDEX(Unit_Rates!$C$7:$K$113,MATCH($C38,Unit_Rates!$C$7:$C$113,0),5)</f>
        <v>Subtransmission</v>
      </c>
      <c r="E38" t="str">
        <f>INDEX(Unit_Rates!$C$7:$K$113,MATCH($C38,Unit_Rates!$C$7:$C$113,0),6)</f>
        <v>Augmentation</v>
      </c>
      <c r="F38" t="str">
        <f t="shared" si="3"/>
        <v>SubtransmissionAugmentation</v>
      </c>
      <c r="G38" s="170">
        <f>INDEX(Unit_Rates!$C$7:$K$113,MATCH($C38,Unit_Rates!$C$7:$C$113,0),7)</f>
        <v>0</v>
      </c>
      <c r="H38" s="171"/>
      <c r="I38" s="123" t="s">
        <v>294</v>
      </c>
      <c r="J38" s="165"/>
      <c r="K38" s="172">
        <f t="shared" si="6"/>
        <v>0</v>
      </c>
      <c r="L38" s="173">
        <f t="shared" si="2"/>
        <v>0</v>
      </c>
      <c r="M38" s="174"/>
      <c r="N38" s="448"/>
      <c r="O38" s="448"/>
      <c r="P38" s="449"/>
      <c r="Q38" s="152">
        <f>P38-H38*VLOOKUP(C38,Unit_Rates!$C$7:$E$51,3,FALSE)</f>
        <v>0</v>
      </c>
      <c r="R38" s="134">
        <v>0</v>
      </c>
      <c r="S38" s="134">
        <v>0</v>
      </c>
      <c r="T38" s="134">
        <v>0</v>
      </c>
      <c r="U38" s="134">
        <v>0</v>
      </c>
      <c r="V38" s="134">
        <v>0</v>
      </c>
      <c r="W38" s="134">
        <v>0</v>
      </c>
      <c r="X38" s="134">
        <v>0</v>
      </c>
      <c r="Y38" s="77">
        <f t="shared" si="4"/>
        <v>0</v>
      </c>
    </row>
    <row r="39" spans="2:25" x14ac:dyDescent="0.25">
      <c r="B39" s="84"/>
      <c r="C39" s="23" t="s">
        <v>169</v>
      </c>
      <c r="D39" t="str">
        <f>INDEX(Unit_Rates!$C$7:$K$113,MATCH($C39,Unit_Rates!$C$7:$C$113,0),5)</f>
        <v>Subtransmission</v>
      </c>
      <c r="E39" t="str">
        <f>INDEX(Unit_Rates!$C$7:$K$113,MATCH($C39,Unit_Rates!$C$7:$C$113,0),6)</f>
        <v>Augmentation</v>
      </c>
      <c r="F39" t="str">
        <f t="shared" si="3"/>
        <v>SubtransmissionAugmentation</v>
      </c>
      <c r="G39" s="170">
        <f>INDEX(Unit_Rates!$C$7:$K$113,MATCH($C39,Unit_Rates!$C$7:$C$113,0),7)</f>
        <v>174.5855255813953</v>
      </c>
      <c r="H39" s="171"/>
      <c r="I39" s="123" t="s">
        <v>294</v>
      </c>
      <c r="J39" s="165"/>
      <c r="K39" s="172">
        <f t="shared" si="6"/>
        <v>0</v>
      </c>
      <c r="L39" s="173">
        <f t="shared" si="2"/>
        <v>0</v>
      </c>
      <c r="M39" s="174"/>
      <c r="N39" s="448"/>
      <c r="O39" s="448"/>
      <c r="P39" s="449"/>
      <c r="Q39" s="152">
        <f>P39-H39*VLOOKUP(C39,Unit_Rates!$C$7:$E$51,3,FALSE)</f>
        <v>0</v>
      </c>
      <c r="R39" s="134">
        <v>0</v>
      </c>
      <c r="S39" s="134">
        <v>0</v>
      </c>
      <c r="T39" s="134">
        <v>0</v>
      </c>
      <c r="U39" s="134">
        <v>0</v>
      </c>
      <c r="V39" s="134">
        <v>0</v>
      </c>
      <c r="W39" s="134">
        <v>0</v>
      </c>
      <c r="X39" s="134">
        <v>0</v>
      </c>
      <c r="Y39" s="77">
        <f t="shared" si="4"/>
        <v>0</v>
      </c>
    </row>
    <row r="40" spans="2:25" x14ac:dyDescent="0.25">
      <c r="B40" s="84"/>
      <c r="C40" s="23" t="s">
        <v>171</v>
      </c>
      <c r="D40" t="str">
        <f>INDEX(Unit_Rates!$C$7:$K$113,MATCH($C40,Unit_Rates!$C$7:$C$113,0),5)</f>
        <v>Subtransmission</v>
      </c>
      <c r="E40" t="str">
        <f>INDEX(Unit_Rates!$C$7:$K$113,MATCH($C40,Unit_Rates!$C$7:$C$113,0),6)</f>
        <v>Augmentation</v>
      </c>
      <c r="F40" t="str">
        <f t="shared" si="3"/>
        <v>SubtransmissionAugmentation</v>
      </c>
      <c r="G40" s="170">
        <f>INDEX(Unit_Rates!$C$7:$K$113,MATCH($C40,Unit_Rates!$C$7:$C$113,0),7)</f>
        <v>369.03899999999987</v>
      </c>
      <c r="H40" s="171"/>
      <c r="I40" s="123" t="s">
        <v>294</v>
      </c>
      <c r="J40" s="165"/>
      <c r="K40" s="172">
        <f t="shared" si="6"/>
        <v>0</v>
      </c>
      <c r="L40" s="173">
        <f t="shared" si="2"/>
        <v>0</v>
      </c>
      <c r="M40" s="174"/>
      <c r="N40" s="448"/>
      <c r="O40" s="448"/>
      <c r="P40" s="449"/>
      <c r="Q40" s="152">
        <f>P40-H40*VLOOKUP(C40,Unit_Rates!$C$7:$E$51,3,FALSE)</f>
        <v>0</v>
      </c>
      <c r="R40" s="134">
        <v>0</v>
      </c>
      <c r="S40" s="134">
        <v>0</v>
      </c>
      <c r="T40" s="134">
        <v>0</v>
      </c>
      <c r="U40" s="134">
        <v>0</v>
      </c>
      <c r="V40" s="134">
        <v>0</v>
      </c>
      <c r="W40" s="134">
        <v>0</v>
      </c>
      <c r="X40" s="134">
        <v>0</v>
      </c>
      <c r="Y40" s="77">
        <f t="shared" si="4"/>
        <v>0</v>
      </c>
    </row>
    <row r="41" spans="2:25" x14ac:dyDescent="0.25">
      <c r="B41" s="84"/>
      <c r="C41" s="23" t="s">
        <v>173</v>
      </c>
      <c r="D41" t="str">
        <f>INDEX(Unit_Rates!$C$7:$K$113,MATCH($C41,Unit_Rates!$C$7:$C$113,0),5)</f>
        <v>Subtransmission</v>
      </c>
      <c r="E41" t="str">
        <f>INDEX(Unit_Rates!$C$7:$K$113,MATCH($C41,Unit_Rates!$C$7:$C$113,0),6)</f>
        <v>Augmentation</v>
      </c>
      <c r="F41" t="str">
        <f t="shared" si="3"/>
        <v>SubtransmissionAugmentation</v>
      </c>
      <c r="G41" s="405">
        <v>4.5836000000000002E-2</v>
      </c>
      <c r="H41" s="171">
        <v>500</v>
      </c>
      <c r="I41" s="123" t="s">
        <v>295</v>
      </c>
      <c r="J41" s="165"/>
      <c r="K41" s="172">
        <f t="shared" si="6"/>
        <v>22.917999999999999</v>
      </c>
      <c r="L41" s="173">
        <f t="shared" si="2"/>
        <v>0</v>
      </c>
      <c r="M41" s="174"/>
      <c r="N41" s="448"/>
      <c r="O41" s="451"/>
      <c r="P41" s="449"/>
      <c r="Q41" s="152"/>
      <c r="R41" s="134">
        <v>0</v>
      </c>
      <c r="S41" s="134">
        <v>0</v>
      </c>
      <c r="T41" s="134">
        <v>0</v>
      </c>
      <c r="U41" s="134">
        <v>0</v>
      </c>
      <c r="V41" s="134">
        <v>0</v>
      </c>
      <c r="W41" s="134">
        <v>0</v>
      </c>
      <c r="X41" s="134">
        <v>0</v>
      </c>
      <c r="Y41" s="77">
        <f t="shared" si="4"/>
        <v>0</v>
      </c>
    </row>
    <row r="42" spans="2:25" x14ac:dyDescent="0.25">
      <c r="B42" s="84"/>
      <c r="C42" s="23" t="s">
        <v>177</v>
      </c>
      <c r="D42" t="str">
        <f>INDEX(Unit_Rates!$C$7:$K$113,MATCH($C42,Unit_Rates!$C$7:$C$113,0),5)</f>
        <v>Subtransmission</v>
      </c>
      <c r="E42" t="str">
        <f>INDEX(Unit_Rates!$C$7:$K$113,MATCH($C42,Unit_Rates!$C$7:$C$113,0),6)</f>
        <v>Augmentation</v>
      </c>
      <c r="F42" t="str">
        <f t="shared" si="3"/>
        <v>SubtransmissionAugmentation</v>
      </c>
      <c r="G42" s="179">
        <f>INDEX(Unit_Rates!$C$7:$K$113,MATCH($C42,Unit_Rates!$C$7:$C$113,0),7)</f>
        <v>4.9999999999999996E-2</v>
      </c>
      <c r="H42" s="171"/>
      <c r="I42" s="123" t="s">
        <v>295</v>
      </c>
      <c r="J42" s="165"/>
      <c r="K42" s="172">
        <f t="shared" si="6"/>
        <v>0</v>
      </c>
      <c r="L42" s="173">
        <f t="shared" ref="L42" si="9">SUMPRODUCT(R$5:X$5,R42:X42)/Thousands</f>
        <v>0</v>
      </c>
      <c r="M42" s="174"/>
      <c r="N42" s="448"/>
      <c r="O42" s="448"/>
      <c r="P42" s="449"/>
      <c r="Q42" s="152"/>
      <c r="R42" s="134">
        <v>0</v>
      </c>
      <c r="S42" s="134">
        <v>0</v>
      </c>
      <c r="T42" s="134">
        <v>0</v>
      </c>
      <c r="U42" s="134">
        <v>0</v>
      </c>
      <c r="V42" s="134">
        <v>0</v>
      </c>
      <c r="W42" s="134">
        <v>0</v>
      </c>
      <c r="X42" s="134">
        <v>0</v>
      </c>
      <c r="Y42" s="77">
        <f t="shared" si="4"/>
        <v>0</v>
      </c>
    </row>
    <row r="43" spans="2:25" x14ac:dyDescent="0.25">
      <c r="B43" s="84"/>
      <c r="C43" s="23" t="s">
        <v>25</v>
      </c>
      <c r="D43" t="s">
        <v>3</v>
      </c>
      <c r="E43" t="s">
        <v>27</v>
      </c>
      <c r="F43" t="str">
        <f t="shared" si="3"/>
        <v>SubtransmissionAugmentation</v>
      </c>
      <c r="G43" s="170">
        <v>0</v>
      </c>
      <c r="H43" s="171"/>
      <c r="I43" s="123" t="s">
        <v>294</v>
      </c>
      <c r="J43" s="165"/>
      <c r="K43" s="172">
        <f t="shared" si="6"/>
        <v>0</v>
      </c>
      <c r="L43" s="180">
        <f t="shared" si="2"/>
        <v>0</v>
      </c>
      <c r="M43" s="174"/>
      <c r="N43" s="448"/>
      <c r="O43" s="451"/>
      <c r="P43" s="449"/>
      <c r="Q43" s="152"/>
      <c r="R43" s="134">
        <v>0</v>
      </c>
      <c r="S43" s="134">
        <v>0</v>
      </c>
      <c r="T43" s="134">
        <v>0</v>
      </c>
      <c r="U43" s="134">
        <v>0</v>
      </c>
      <c r="V43" s="134">
        <v>0</v>
      </c>
      <c r="W43" s="134">
        <v>0</v>
      </c>
      <c r="X43" s="134">
        <v>0</v>
      </c>
      <c r="Y43" s="77">
        <f t="shared" si="4"/>
        <v>0</v>
      </c>
    </row>
    <row r="44" spans="2:25" x14ac:dyDescent="0.25">
      <c r="B44" s="84"/>
      <c r="C44" s="23" t="s">
        <v>338</v>
      </c>
      <c r="D44" t="str">
        <f>INDEX(Unit_Rates!$C$7:$K$113,MATCH($C44,Unit_Rates!$C$7:$C$113,0),5)</f>
        <v>Subtransmission</v>
      </c>
      <c r="E44" t="str">
        <f>INDEX(Unit_Rates!$C$7:$K$113,MATCH($C44,Unit_Rates!$C$7:$C$113,0),6)</f>
        <v>Augmentation</v>
      </c>
      <c r="F44" t="str">
        <f t="shared" si="3"/>
        <v>SubtransmissionAugmentation</v>
      </c>
      <c r="G44" s="170">
        <f>INDEX(Unit_Rates!$C$7:$K$113,MATCH($C44,Unit_Rates!$C$7:$C$113,0),7)</f>
        <v>406.8</v>
      </c>
      <c r="H44" s="171">
        <v>1</v>
      </c>
      <c r="I44" s="123" t="s">
        <v>294</v>
      </c>
      <c r="J44" s="165"/>
      <c r="K44" s="172">
        <f t="shared" si="6"/>
        <v>406.8</v>
      </c>
      <c r="L44" s="180">
        <f t="shared" ref="L44:L45" si="10">SUMPRODUCT(R$5:X$5,R44:X44)/Thousands</f>
        <v>0</v>
      </c>
      <c r="M44" s="174"/>
      <c r="N44" s="448"/>
      <c r="O44" s="448"/>
      <c r="P44" s="449"/>
      <c r="Q44" s="152">
        <f>P44-H44*VLOOKUP(C44,Unit_Rates!$C$7:$E$51,3,FALSE)</f>
        <v>0</v>
      </c>
      <c r="R44" s="134">
        <v>0</v>
      </c>
      <c r="S44" s="134">
        <v>0</v>
      </c>
      <c r="T44" s="134">
        <v>0</v>
      </c>
      <c r="U44" s="134">
        <v>0</v>
      </c>
      <c r="V44" s="134">
        <v>0</v>
      </c>
      <c r="W44" s="134">
        <v>0</v>
      </c>
      <c r="X44" s="134">
        <v>0</v>
      </c>
      <c r="Y44" s="77">
        <f t="shared" si="4"/>
        <v>0</v>
      </c>
    </row>
    <row r="45" spans="2:25" x14ac:dyDescent="0.25">
      <c r="B45" s="84"/>
      <c r="C45" s="23" t="s">
        <v>183</v>
      </c>
      <c r="D45" t="str">
        <f>INDEX(Unit_Rates!$C$7:$K$113,MATCH($C45,Unit_Rates!$C$7:$C$113,0),5)</f>
        <v>Subtransmission</v>
      </c>
      <c r="E45" t="str">
        <f>INDEX(Unit_Rates!$C$7:$K$113,MATCH($C45,Unit_Rates!$C$7:$C$113,0),6)</f>
        <v>Augmentation</v>
      </c>
      <c r="F45" t="str">
        <f t="shared" si="3"/>
        <v>SubtransmissionAugmentation</v>
      </c>
      <c r="G45" s="170">
        <f>INDEX(Unit_Rates!$C$7:$K$113,MATCH($C45,Unit_Rates!$C$7:$C$113,0),7)</f>
        <v>0</v>
      </c>
      <c r="H45" s="171"/>
      <c r="I45" s="123" t="s">
        <v>294</v>
      </c>
      <c r="J45" s="165"/>
      <c r="K45" s="172">
        <f t="shared" si="6"/>
        <v>0</v>
      </c>
      <c r="L45" s="180">
        <f t="shared" si="10"/>
        <v>0</v>
      </c>
      <c r="M45" s="174"/>
      <c r="N45" s="448"/>
      <c r="O45" s="448"/>
      <c r="P45" s="449"/>
      <c r="Q45" s="152">
        <f>P45-H45*VLOOKUP(C45,Unit_Rates!$C$7:$E$51,3,FALSE)</f>
        <v>0</v>
      </c>
      <c r="R45" s="134">
        <v>0</v>
      </c>
      <c r="S45" s="134">
        <v>0</v>
      </c>
      <c r="T45" s="134">
        <v>0</v>
      </c>
      <c r="U45" s="134">
        <v>0</v>
      </c>
      <c r="V45" s="134">
        <v>0</v>
      </c>
      <c r="W45" s="134">
        <v>0</v>
      </c>
      <c r="X45" s="134">
        <v>0</v>
      </c>
      <c r="Y45" s="77">
        <f t="shared" si="4"/>
        <v>0</v>
      </c>
    </row>
    <row r="46" spans="2:25" x14ac:dyDescent="0.25">
      <c r="B46" s="84"/>
      <c r="C46" s="23"/>
      <c r="G46" s="170"/>
      <c r="H46" s="171"/>
      <c r="I46" s="167"/>
      <c r="J46" s="165"/>
      <c r="K46" s="149"/>
      <c r="L46" s="167"/>
      <c r="M46" s="169"/>
      <c r="N46" s="181"/>
      <c r="O46" s="181"/>
      <c r="P46" s="371"/>
      <c r="Q46" s="163"/>
      <c r="R46" s="127"/>
      <c r="S46" s="127"/>
      <c r="T46" s="127"/>
      <c r="U46" s="127"/>
      <c r="V46" s="127"/>
      <c r="W46" s="127"/>
      <c r="X46" s="127"/>
    </row>
    <row r="47" spans="2:25" x14ac:dyDescent="0.25">
      <c r="B47" s="120" t="s">
        <v>296</v>
      </c>
      <c r="C47" s="23"/>
      <c r="G47" s="170"/>
      <c r="H47" s="171"/>
      <c r="I47" s="123"/>
      <c r="J47" s="153"/>
      <c r="K47" s="172"/>
      <c r="L47" s="172"/>
      <c r="M47" s="181"/>
      <c r="N47" s="182"/>
      <c r="O47" s="181"/>
      <c r="P47" s="293"/>
      <c r="Q47" s="152"/>
      <c r="R47" s="127"/>
      <c r="S47" s="127"/>
      <c r="T47" s="127"/>
      <c r="U47" s="127"/>
      <c r="V47" s="127"/>
      <c r="W47" s="127"/>
      <c r="X47" s="127"/>
    </row>
    <row r="48" spans="2:25" x14ac:dyDescent="0.25">
      <c r="B48" s="84"/>
      <c r="C48" s="23" t="s">
        <v>189</v>
      </c>
      <c r="D48" t="str">
        <f>INDEX(Unit_Rates!$C$7:$K$113,MATCH($C48,Unit_Rates!$C$7:$C$113,0),5)</f>
        <v>SCADA/Network control</v>
      </c>
      <c r="E48" t="str">
        <f>INDEX(Unit_Rates!$C$7:$K$113,MATCH($C48,Unit_Rates!$C$7:$C$113,0),6)</f>
        <v>Augmentation</v>
      </c>
      <c r="F48" t="str">
        <f t="shared" ref="F48:F57" si="11">D48&amp;E48</f>
        <v>SCADA/Network controlAugmentation</v>
      </c>
      <c r="G48" s="170">
        <f>INDEX(Unit_Rates!$C$7:$K$113,MATCH($C48,Unit_Rates!$C$7:$C$113,0),7)</f>
        <v>61.81911602209945</v>
      </c>
      <c r="H48" s="171">
        <v>1</v>
      </c>
      <c r="I48" s="123" t="s">
        <v>294</v>
      </c>
      <c r="J48" s="165"/>
      <c r="K48" s="149">
        <f>G48*H48</f>
        <v>61.81911602209945</v>
      </c>
      <c r="L48" s="149">
        <f t="shared" ref="L48:L57" si="12">SUMPRODUCT(R$5:X$5,R48:X48)/Thousands</f>
        <v>0</v>
      </c>
      <c r="M48" s="151"/>
      <c r="N48" s="448"/>
      <c r="O48" s="448"/>
      <c r="P48" s="449"/>
      <c r="Q48" s="152">
        <f>P48-H48*VLOOKUP(C48,Unit_Rates!$C$58:$E$113,3,FALSE)</f>
        <v>0</v>
      </c>
      <c r="R48" s="134">
        <v>0</v>
      </c>
      <c r="S48" s="134">
        <v>0</v>
      </c>
      <c r="T48" s="134">
        <v>0</v>
      </c>
      <c r="U48" s="134">
        <v>0</v>
      </c>
      <c r="V48" s="134">
        <v>0</v>
      </c>
      <c r="W48" s="134">
        <v>0</v>
      </c>
      <c r="X48" s="134">
        <v>0</v>
      </c>
      <c r="Y48" s="77">
        <f t="shared" ref="Y48:Y57" si="13">SUM(R48:X48)</f>
        <v>0</v>
      </c>
    </row>
    <row r="49" spans="2:25" x14ac:dyDescent="0.25">
      <c r="B49" s="84"/>
      <c r="C49" s="23" t="s">
        <v>190</v>
      </c>
      <c r="D49" t="str">
        <f>INDEX(Unit_Rates!$C$7:$K$113,MATCH($C49,Unit_Rates!$C$7:$C$113,0),5)</f>
        <v>SCADA/Network control</v>
      </c>
      <c r="E49" t="str">
        <f>INDEX(Unit_Rates!$C$7:$K$113,MATCH($C49,Unit_Rates!$C$7:$C$113,0),6)</f>
        <v>Augmentation</v>
      </c>
      <c r="F49" t="str">
        <f t="shared" si="11"/>
        <v>SCADA/Network controlAugmentation</v>
      </c>
      <c r="G49" s="170">
        <f>INDEX(Unit_Rates!$C$7:$K$113,MATCH($C49,Unit_Rates!$C$7:$C$113,0),7)</f>
        <v>6.2430939226519344</v>
      </c>
      <c r="H49" s="171"/>
      <c r="I49" s="123" t="s">
        <v>294</v>
      </c>
      <c r="J49" s="165"/>
      <c r="K49" s="149">
        <f>G49*H49</f>
        <v>0</v>
      </c>
      <c r="L49" s="149">
        <f t="shared" si="12"/>
        <v>0</v>
      </c>
      <c r="M49" s="151"/>
      <c r="N49" s="448"/>
      <c r="O49" s="448"/>
      <c r="P49" s="449"/>
      <c r="Q49" s="152">
        <f>P49-H49*VLOOKUP(C49,Unit_Rates!$C$58:$E$113,3,FALSE)</f>
        <v>0</v>
      </c>
      <c r="R49" s="134">
        <v>0</v>
      </c>
      <c r="S49" s="134">
        <v>0</v>
      </c>
      <c r="T49" s="134">
        <v>0</v>
      </c>
      <c r="U49" s="134">
        <v>0</v>
      </c>
      <c r="V49" s="134">
        <v>0</v>
      </c>
      <c r="W49" s="134">
        <v>0</v>
      </c>
      <c r="X49" s="134">
        <v>0</v>
      </c>
      <c r="Y49" s="77">
        <f t="shared" si="13"/>
        <v>0</v>
      </c>
    </row>
    <row r="50" spans="2:25" x14ac:dyDescent="0.25">
      <c r="B50" s="84"/>
      <c r="C50" s="23" t="s">
        <v>192</v>
      </c>
      <c r="D50" t="str">
        <f>INDEX(Unit_Rates!$C$7:$K$113,MATCH($C50,Unit_Rates!$C$7:$C$113,0),5)</f>
        <v>SCADA/Network control</v>
      </c>
      <c r="E50" t="str">
        <f>INDEX(Unit_Rates!$C$7:$K$113,MATCH($C50,Unit_Rates!$C$7:$C$113,0),6)</f>
        <v>Augmentation</v>
      </c>
      <c r="F50" t="str">
        <f t="shared" si="11"/>
        <v>SCADA/Network controlAugmentation</v>
      </c>
      <c r="G50" s="170">
        <f>INDEX(Unit_Rates!$C$7:$K$113,MATCH($C50,Unit_Rates!$C$7:$C$113,0),7)</f>
        <v>8.6955893186003674</v>
      </c>
      <c r="H50" s="171"/>
      <c r="I50" s="123" t="s">
        <v>294</v>
      </c>
      <c r="J50" s="165"/>
      <c r="K50" s="149">
        <f t="shared" ref="K50:K54" si="14">G50*H50</f>
        <v>0</v>
      </c>
      <c r="L50" s="149">
        <f t="shared" si="12"/>
        <v>0</v>
      </c>
      <c r="M50" s="151"/>
      <c r="N50" s="448"/>
      <c r="O50" s="448"/>
      <c r="P50" s="449"/>
      <c r="Q50" s="152">
        <f>P50-H50*VLOOKUP(C50,Unit_Rates!$C$58:$E$113,3,FALSE)</f>
        <v>0</v>
      </c>
      <c r="R50" s="134">
        <v>0</v>
      </c>
      <c r="S50" s="134">
        <v>0</v>
      </c>
      <c r="T50" s="134">
        <v>0</v>
      </c>
      <c r="U50" s="134">
        <v>0</v>
      </c>
      <c r="V50" s="134">
        <v>0</v>
      </c>
      <c r="W50" s="134">
        <v>0</v>
      </c>
      <c r="X50" s="134">
        <v>0</v>
      </c>
      <c r="Y50" s="77">
        <f t="shared" si="13"/>
        <v>0</v>
      </c>
    </row>
    <row r="51" spans="2:25" x14ac:dyDescent="0.25">
      <c r="B51" s="84"/>
      <c r="C51" s="23" t="s">
        <v>435</v>
      </c>
      <c r="D51" t="str">
        <f>INDEX(Unit_Rates!$C$7:$K$113,MATCH($C51,Unit_Rates!$C$7:$C$113,0),5)</f>
        <v>SCADA/Network control</v>
      </c>
      <c r="E51" t="str">
        <f>INDEX(Unit_Rates!$C$7:$K$113,MATCH($C51,Unit_Rates!$C$7:$C$113,0),6)</f>
        <v>Augmentation</v>
      </c>
      <c r="F51" t="str">
        <f t="shared" si="11"/>
        <v>SCADA/Network controlAugmentation</v>
      </c>
      <c r="G51" s="170">
        <f>INDEX(Unit_Rates!$C$7:$K$113,MATCH($C51,Unit_Rates!$C$7:$C$113,0),7)</f>
        <v>58.417057313358185</v>
      </c>
      <c r="H51" s="171">
        <v>2</v>
      </c>
      <c r="I51" s="123" t="s">
        <v>294</v>
      </c>
      <c r="J51" s="165"/>
      <c r="K51" s="149">
        <f t="shared" si="14"/>
        <v>116.83411462671637</v>
      </c>
      <c r="L51" s="149">
        <f t="shared" si="12"/>
        <v>0</v>
      </c>
      <c r="M51" s="151"/>
      <c r="N51" s="448"/>
      <c r="O51" s="448"/>
      <c r="P51" s="449"/>
      <c r="Q51" s="152">
        <f>P51-H51*VLOOKUP(C51,Unit_Rates!$C$58:$E$113,3,FALSE)</f>
        <v>0</v>
      </c>
      <c r="R51" s="134">
        <v>0</v>
      </c>
      <c r="S51" s="134">
        <v>0</v>
      </c>
      <c r="T51" s="134">
        <v>0</v>
      </c>
      <c r="U51" s="134">
        <v>0</v>
      </c>
      <c r="V51" s="134">
        <v>0</v>
      </c>
      <c r="W51" s="134">
        <v>0</v>
      </c>
      <c r="X51" s="134">
        <v>0</v>
      </c>
      <c r="Y51" s="77">
        <f t="shared" si="13"/>
        <v>0</v>
      </c>
    </row>
    <row r="52" spans="2:25" x14ac:dyDescent="0.25">
      <c r="B52" s="84"/>
      <c r="C52" s="23" t="s">
        <v>201</v>
      </c>
      <c r="D52" t="str">
        <f>INDEX(Unit_Rates!$C$7:$K$113,MATCH($C52,Unit_Rates!$C$7:$C$113,0),5)</f>
        <v>SCADA/Network control</v>
      </c>
      <c r="E52" t="str">
        <f>INDEX(Unit_Rates!$C$7:$K$113,MATCH($C52,Unit_Rates!$C$7:$C$113,0),6)</f>
        <v>Augmentation</v>
      </c>
      <c r="F52" t="str">
        <f t="shared" ref="F52" si="15">D52&amp;E52</f>
        <v>SCADA/Network controlAugmentation</v>
      </c>
      <c r="G52" s="170">
        <f>INDEX(Unit_Rates!$C$7:$K$113,MATCH($C52,Unit_Rates!$C$7:$C$113,0),7)</f>
        <v>33.683572744014732</v>
      </c>
      <c r="H52" s="171">
        <v>1</v>
      </c>
      <c r="I52" s="123" t="s">
        <v>294</v>
      </c>
      <c r="J52" s="165"/>
      <c r="K52" s="149">
        <f t="shared" ref="K52" si="16">G52*H52</f>
        <v>33.683572744014732</v>
      </c>
      <c r="L52" s="149">
        <f t="shared" ref="L52" si="17">SUMPRODUCT(R$5:X$5,R52:X52)/Thousands</f>
        <v>0</v>
      </c>
      <c r="M52" s="151"/>
      <c r="N52" s="448"/>
      <c r="O52" s="448"/>
      <c r="P52" s="449"/>
      <c r="Q52" s="152">
        <f>P52-H52*VLOOKUP(C52,Unit_Rates!$C$58:$E$113,3,FALSE)</f>
        <v>0</v>
      </c>
      <c r="R52" s="134">
        <v>0</v>
      </c>
      <c r="S52" s="134">
        <v>0</v>
      </c>
      <c r="T52" s="134">
        <v>0</v>
      </c>
      <c r="U52" s="134">
        <v>0</v>
      </c>
      <c r="V52" s="134">
        <v>0</v>
      </c>
      <c r="W52" s="134">
        <v>0</v>
      </c>
      <c r="X52" s="134">
        <v>0</v>
      </c>
      <c r="Y52" s="77">
        <f t="shared" ref="Y52" si="18">SUM(R52:X52)</f>
        <v>0</v>
      </c>
    </row>
    <row r="53" spans="2:25" x14ac:dyDescent="0.25">
      <c r="B53" s="84"/>
      <c r="C53" s="23" t="s">
        <v>193</v>
      </c>
      <c r="D53" t="str">
        <f>INDEX(Unit_Rates!$C$7:$K$113,MATCH($C53,Unit_Rates!$C$7:$C$113,0),5)</f>
        <v>SCADA/Network control</v>
      </c>
      <c r="E53" t="str">
        <f>INDEX(Unit_Rates!$C$7:$K$113,MATCH($C53,Unit_Rates!$C$7:$C$113,0),6)</f>
        <v>Augmentation</v>
      </c>
      <c r="F53" t="str">
        <f t="shared" si="11"/>
        <v>SCADA/Network controlAugmentation</v>
      </c>
      <c r="G53" s="170">
        <f>INDEX(Unit_Rates!$C$7:$K$113,MATCH($C53,Unit_Rates!$C$7:$C$113,0),7)</f>
        <v>98.007730202578273</v>
      </c>
      <c r="H53" s="171"/>
      <c r="I53" s="123" t="s">
        <v>294</v>
      </c>
      <c r="J53" s="165"/>
      <c r="K53" s="149">
        <f t="shared" si="14"/>
        <v>0</v>
      </c>
      <c r="L53" s="149">
        <f t="shared" si="12"/>
        <v>0</v>
      </c>
      <c r="M53" s="151"/>
      <c r="N53" s="448"/>
      <c r="O53" s="448"/>
      <c r="P53" s="449"/>
      <c r="Q53" s="152">
        <f>P53-H53*VLOOKUP(C53,Unit_Rates!$C$58:$E$113,3,FALSE)</f>
        <v>0</v>
      </c>
      <c r="R53" s="134">
        <v>0</v>
      </c>
      <c r="S53" s="134">
        <v>0</v>
      </c>
      <c r="T53" s="134">
        <v>0</v>
      </c>
      <c r="U53" s="134">
        <v>0</v>
      </c>
      <c r="V53" s="134">
        <v>0</v>
      </c>
      <c r="W53" s="134">
        <v>0</v>
      </c>
      <c r="X53" s="134">
        <v>0</v>
      </c>
      <c r="Y53" s="77">
        <f t="shared" si="13"/>
        <v>0</v>
      </c>
    </row>
    <row r="54" spans="2:25" x14ac:dyDescent="0.25">
      <c r="B54" s="84"/>
      <c r="C54" s="23" t="s">
        <v>297</v>
      </c>
      <c r="D54" t="s">
        <v>2</v>
      </c>
      <c r="E54" t="s">
        <v>27</v>
      </c>
      <c r="F54" t="s">
        <v>31</v>
      </c>
      <c r="G54" s="184">
        <v>2.5454545454545454</v>
      </c>
      <c r="H54" s="171">
        <v>11</v>
      </c>
      <c r="I54" s="123" t="s">
        <v>294</v>
      </c>
      <c r="J54" s="165"/>
      <c r="K54" s="149">
        <f t="shared" si="14"/>
        <v>28</v>
      </c>
      <c r="L54" s="149">
        <f t="shared" si="12"/>
        <v>0</v>
      </c>
      <c r="M54" s="151"/>
      <c r="N54" s="448"/>
      <c r="O54" s="451"/>
      <c r="P54" s="449"/>
      <c r="Q54" s="152"/>
      <c r="R54" s="134">
        <v>0</v>
      </c>
      <c r="S54" s="134">
        <v>0</v>
      </c>
      <c r="T54" s="134">
        <v>0</v>
      </c>
      <c r="U54" s="134">
        <v>0</v>
      </c>
      <c r="V54" s="134"/>
      <c r="W54" s="134">
        <v>0</v>
      </c>
      <c r="X54" s="134">
        <v>0</v>
      </c>
      <c r="Y54" s="77">
        <f t="shared" si="13"/>
        <v>0</v>
      </c>
    </row>
    <row r="55" spans="2:25" x14ac:dyDescent="0.25">
      <c r="B55" s="84"/>
      <c r="C55" s="23" t="s">
        <v>298</v>
      </c>
      <c r="D55" t="s">
        <v>2</v>
      </c>
      <c r="E55" t="s">
        <v>27</v>
      </c>
      <c r="F55" t="str">
        <f t="shared" si="11"/>
        <v>SCADA/Network controlAugmentation</v>
      </c>
      <c r="G55" s="184">
        <v>13.466666666666667</v>
      </c>
      <c r="H55" s="171">
        <v>3</v>
      </c>
      <c r="I55" s="123" t="s">
        <v>294</v>
      </c>
      <c r="J55" s="165"/>
      <c r="K55" s="149">
        <f>G55*H55</f>
        <v>40.4</v>
      </c>
      <c r="L55" s="149">
        <f t="shared" si="12"/>
        <v>0</v>
      </c>
      <c r="M55" s="151"/>
      <c r="N55" s="448"/>
      <c r="O55" s="451"/>
      <c r="P55" s="449"/>
      <c r="Q55" s="152"/>
      <c r="R55" s="134">
        <v>0</v>
      </c>
      <c r="S55" s="134">
        <v>0</v>
      </c>
      <c r="T55" s="134">
        <v>0</v>
      </c>
      <c r="U55" s="134">
        <v>0</v>
      </c>
      <c r="V55" s="134">
        <v>0</v>
      </c>
      <c r="W55" s="134">
        <v>0</v>
      </c>
      <c r="X55" s="134">
        <v>0</v>
      </c>
      <c r="Y55" s="77">
        <f t="shared" si="13"/>
        <v>0</v>
      </c>
    </row>
    <row r="56" spans="2:25" x14ac:dyDescent="0.25">
      <c r="B56" s="120" t="s">
        <v>299</v>
      </c>
      <c r="C56" s="23"/>
      <c r="D56" t="s">
        <v>3</v>
      </c>
      <c r="E56" t="s">
        <v>27</v>
      </c>
      <c r="F56" t="str">
        <f t="shared" si="11"/>
        <v>SubtransmissionAugmentation</v>
      </c>
      <c r="G56" s="185">
        <v>5.186164078</v>
      </c>
      <c r="H56" s="171">
        <v>3</v>
      </c>
      <c r="I56" s="123" t="s">
        <v>294</v>
      </c>
      <c r="J56" s="165"/>
      <c r="K56" s="149">
        <f>G56*H56</f>
        <v>15.558492233999999</v>
      </c>
      <c r="L56" s="149">
        <f t="shared" si="12"/>
        <v>0</v>
      </c>
      <c r="M56" s="151"/>
      <c r="N56" s="448"/>
      <c r="O56" s="451"/>
      <c r="P56" s="449"/>
      <c r="Q56" s="152"/>
      <c r="R56" s="134">
        <v>0</v>
      </c>
      <c r="S56" s="134">
        <v>0</v>
      </c>
      <c r="T56" s="134">
        <v>0</v>
      </c>
      <c r="U56" s="134">
        <v>0</v>
      </c>
      <c r="V56" s="134">
        <v>0</v>
      </c>
      <c r="W56" s="134">
        <v>0</v>
      </c>
      <c r="X56" s="134">
        <v>0</v>
      </c>
      <c r="Y56" s="77">
        <f t="shared" si="13"/>
        <v>0</v>
      </c>
    </row>
    <row r="57" spans="2:25" x14ac:dyDescent="0.25">
      <c r="B57" s="120" t="s">
        <v>347</v>
      </c>
      <c r="C57" s="23"/>
      <c r="D57" t="s">
        <v>3</v>
      </c>
      <c r="E57" t="s">
        <v>27</v>
      </c>
      <c r="F57" t="str">
        <f t="shared" si="11"/>
        <v>SubtransmissionAugmentation</v>
      </c>
      <c r="G57" s="185">
        <v>0</v>
      </c>
      <c r="H57" s="171"/>
      <c r="I57" s="123" t="s">
        <v>294</v>
      </c>
      <c r="J57" s="165"/>
      <c r="K57" s="149">
        <f>G57*H57</f>
        <v>0</v>
      </c>
      <c r="L57" s="149">
        <f t="shared" si="12"/>
        <v>0</v>
      </c>
      <c r="M57" s="151"/>
      <c r="N57" s="448"/>
      <c r="O57" s="451"/>
      <c r="P57" s="449"/>
      <c r="Q57" s="152"/>
      <c r="R57" s="134">
        <v>0</v>
      </c>
      <c r="S57" s="134">
        <v>0</v>
      </c>
      <c r="T57" s="134">
        <v>0</v>
      </c>
      <c r="U57" s="134">
        <v>0</v>
      </c>
      <c r="V57" s="134">
        <v>0</v>
      </c>
      <c r="W57" s="134">
        <v>0</v>
      </c>
      <c r="X57" s="134">
        <v>0</v>
      </c>
      <c r="Y57" s="77">
        <f t="shared" si="13"/>
        <v>0</v>
      </c>
    </row>
    <row r="58" spans="2:25" x14ac:dyDescent="0.25">
      <c r="B58" s="120" t="s">
        <v>346</v>
      </c>
      <c r="C58" s="23"/>
      <c r="D58" t="s">
        <v>3</v>
      </c>
      <c r="E58" t="s">
        <v>27</v>
      </c>
      <c r="F58" t="str">
        <f t="shared" ref="F58" si="19">D58&amp;E58</f>
        <v>SubtransmissionAugmentation</v>
      </c>
      <c r="G58" s="185">
        <v>10.284150586499999</v>
      </c>
      <c r="H58" s="171">
        <v>2</v>
      </c>
      <c r="I58" s="123" t="s">
        <v>294</v>
      </c>
      <c r="J58" s="165"/>
      <c r="K58" s="149">
        <f>G58*H58</f>
        <v>20.568301172999998</v>
      </c>
      <c r="L58" s="149">
        <f t="shared" ref="L58" si="20">SUMPRODUCT(R$5:X$5,R58:X58)/Thousands</f>
        <v>0</v>
      </c>
      <c r="M58" s="151"/>
      <c r="N58" s="448"/>
      <c r="O58" s="451"/>
      <c r="P58" s="449"/>
      <c r="Q58" s="152"/>
      <c r="R58" s="134">
        <v>0</v>
      </c>
      <c r="S58" s="134">
        <v>0</v>
      </c>
      <c r="T58" s="134">
        <v>0</v>
      </c>
      <c r="U58" s="134">
        <v>0</v>
      </c>
      <c r="V58" s="134">
        <v>0</v>
      </c>
      <c r="W58" s="134">
        <v>0</v>
      </c>
      <c r="X58" s="134">
        <v>0</v>
      </c>
      <c r="Y58" s="77">
        <f t="shared" ref="Y58" si="21">SUM(R58:X58)</f>
        <v>0</v>
      </c>
    </row>
    <row r="59" spans="2:25" x14ac:dyDescent="0.25">
      <c r="B59" s="120" t="s">
        <v>300</v>
      </c>
      <c r="C59" s="23"/>
      <c r="G59" s="169"/>
      <c r="H59" s="186"/>
      <c r="I59" s="167"/>
      <c r="K59" s="149"/>
      <c r="L59" s="149"/>
      <c r="M59" s="168"/>
      <c r="N59" s="182"/>
      <c r="O59" s="181"/>
      <c r="P59" s="293"/>
      <c r="Q59" s="152"/>
      <c r="R59" s="127"/>
      <c r="S59" s="127"/>
      <c r="T59" s="127"/>
      <c r="U59" s="127"/>
      <c r="V59" s="127"/>
      <c r="W59" s="127"/>
      <c r="X59" s="127"/>
    </row>
    <row r="60" spans="2:25" x14ac:dyDescent="0.25">
      <c r="B60" s="84"/>
      <c r="C60" s="23" t="s">
        <v>345</v>
      </c>
      <c r="D60" t="s">
        <v>3</v>
      </c>
      <c r="E60" t="s">
        <v>27</v>
      </c>
      <c r="F60" t="str">
        <f t="shared" ref="F60:F65" si="22">D60&amp;E60</f>
        <v>SubtransmissionAugmentation</v>
      </c>
      <c r="G60" s="185">
        <v>1.2514229160000001</v>
      </c>
      <c r="H60" s="171">
        <v>1</v>
      </c>
      <c r="I60" s="123" t="s">
        <v>294</v>
      </c>
      <c r="K60" s="149">
        <f>G60*H60</f>
        <v>1.2514229160000001</v>
      </c>
      <c r="L60" s="149">
        <f t="shared" ref="L60:L65" si="23">SUMPRODUCT(R$5:X$5,R60:X60)/Thousands</f>
        <v>0</v>
      </c>
      <c r="M60" s="151"/>
      <c r="N60" s="448"/>
      <c r="O60" s="451"/>
      <c r="P60" s="449"/>
      <c r="Q60" s="152"/>
      <c r="R60" s="134">
        <v>0</v>
      </c>
      <c r="S60" s="134">
        <v>0</v>
      </c>
      <c r="T60" s="134">
        <v>0</v>
      </c>
      <c r="U60" s="134">
        <v>0</v>
      </c>
      <c r="V60" s="134">
        <v>0</v>
      </c>
      <c r="W60" s="134">
        <v>0</v>
      </c>
      <c r="X60" s="134">
        <v>0</v>
      </c>
      <c r="Y60" s="77">
        <f t="shared" ref="Y60:Y65" si="24">SUM(R60:X60)</f>
        <v>0</v>
      </c>
    </row>
    <row r="61" spans="2:25" x14ac:dyDescent="0.25">
      <c r="B61" s="84"/>
      <c r="C61" s="23" t="s">
        <v>344</v>
      </c>
      <c r="D61" t="s">
        <v>3</v>
      </c>
      <c r="E61" t="s">
        <v>27</v>
      </c>
      <c r="F61" t="str">
        <f t="shared" ref="F61" si="25">D61&amp;E61</f>
        <v>SubtransmissionAugmentation</v>
      </c>
      <c r="G61" s="185">
        <v>0</v>
      </c>
      <c r="H61" s="171"/>
      <c r="I61" s="123" t="s">
        <v>294</v>
      </c>
      <c r="K61" s="149">
        <f>G61*H61</f>
        <v>0</v>
      </c>
      <c r="L61" s="149">
        <f t="shared" si="23"/>
        <v>0</v>
      </c>
      <c r="M61" s="151"/>
      <c r="N61" s="448"/>
      <c r="O61" s="451"/>
      <c r="P61" s="449"/>
      <c r="Q61" s="152"/>
      <c r="R61" s="134">
        <v>0</v>
      </c>
      <c r="S61" s="134">
        <v>0</v>
      </c>
      <c r="T61" s="134">
        <v>0</v>
      </c>
      <c r="U61" s="134">
        <v>0</v>
      </c>
      <c r="V61" s="134">
        <v>0</v>
      </c>
      <c r="W61" s="134">
        <v>0</v>
      </c>
      <c r="X61" s="134">
        <v>0</v>
      </c>
      <c r="Y61" s="77">
        <f t="shared" ref="Y61" si="26">SUM(R61:X61)</f>
        <v>0</v>
      </c>
    </row>
    <row r="62" spans="2:25" x14ac:dyDescent="0.25">
      <c r="B62" s="84"/>
      <c r="C62" s="23" t="s">
        <v>302</v>
      </c>
      <c r="D62" t="str">
        <f>Unit_Rates!G50</f>
        <v>Subtransmission</v>
      </c>
      <c r="E62" t="str">
        <f>Unit_Rates!H50</f>
        <v>Augmentation</v>
      </c>
      <c r="F62" t="str">
        <f t="shared" si="22"/>
        <v>SubtransmissionAugmentation</v>
      </c>
      <c r="G62" s="170">
        <f>Unit_Rates!$I$50</f>
        <v>131.39534883720927</v>
      </c>
      <c r="H62" s="171"/>
      <c r="I62" s="123" t="s">
        <v>294</v>
      </c>
      <c r="K62" s="149">
        <f>G62*H62</f>
        <v>0</v>
      </c>
      <c r="L62" s="149">
        <f t="shared" si="23"/>
        <v>0</v>
      </c>
      <c r="M62" s="151"/>
      <c r="N62" s="448"/>
      <c r="O62" s="448"/>
      <c r="P62" s="449"/>
      <c r="Q62" s="152">
        <f>P62-H62*VLOOKUP("Oil separator",Unit_Rates!$C$7:$E$51,3,FALSE)</f>
        <v>0</v>
      </c>
      <c r="R62" s="134">
        <v>0</v>
      </c>
      <c r="S62" s="134">
        <v>0</v>
      </c>
      <c r="T62" s="134">
        <v>0</v>
      </c>
      <c r="U62" s="134">
        <v>0</v>
      </c>
      <c r="V62" s="134">
        <v>0</v>
      </c>
      <c r="W62" s="134">
        <v>0</v>
      </c>
      <c r="X62" s="134">
        <v>0</v>
      </c>
      <c r="Y62" s="77">
        <f t="shared" si="24"/>
        <v>0</v>
      </c>
    </row>
    <row r="63" spans="2:25" x14ac:dyDescent="0.25">
      <c r="B63" s="84"/>
      <c r="C63" s="326" t="s">
        <v>303</v>
      </c>
      <c r="D63" t="s">
        <v>3</v>
      </c>
      <c r="E63" t="s">
        <v>27</v>
      </c>
      <c r="F63" t="str">
        <f t="shared" si="22"/>
        <v>SubtransmissionAugmentation</v>
      </c>
      <c r="G63" s="185">
        <v>0</v>
      </c>
      <c r="H63" s="171"/>
      <c r="I63" s="123" t="s">
        <v>294</v>
      </c>
      <c r="K63" s="149">
        <f>G63*H63</f>
        <v>0</v>
      </c>
      <c r="L63" s="149">
        <f t="shared" si="23"/>
        <v>0</v>
      </c>
      <c r="M63" s="151"/>
      <c r="N63" s="448"/>
      <c r="O63" s="448"/>
      <c r="P63" s="449"/>
      <c r="Q63" s="152"/>
      <c r="R63" s="134">
        <v>0</v>
      </c>
      <c r="S63" s="134">
        <v>0</v>
      </c>
      <c r="T63" s="134">
        <v>0</v>
      </c>
      <c r="U63" s="134">
        <v>0</v>
      </c>
      <c r="V63" s="134">
        <v>0</v>
      </c>
      <c r="W63" s="134">
        <v>0</v>
      </c>
      <c r="X63" s="134">
        <v>0</v>
      </c>
      <c r="Y63" s="77">
        <f t="shared" si="24"/>
        <v>0</v>
      </c>
    </row>
    <row r="64" spans="2:25" x14ac:dyDescent="0.25">
      <c r="B64" s="120" t="s">
        <v>304</v>
      </c>
      <c r="C64" s="326"/>
      <c r="D64" t="s">
        <v>3</v>
      </c>
      <c r="E64" t="s">
        <v>27</v>
      </c>
      <c r="F64" t="str">
        <f t="shared" si="22"/>
        <v>SubtransmissionAugmentation</v>
      </c>
      <c r="G64" s="170">
        <v>0</v>
      </c>
      <c r="H64" s="171"/>
      <c r="I64" s="123" t="s">
        <v>294</v>
      </c>
      <c r="K64" s="149">
        <f>G64*H64</f>
        <v>0</v>
      </c>
      <c r="L64" s="166">
        <f t="shared" si="23"/>
        <v>0</v>
      </c>
      <c r="M64" s="188"/>
      <c r="N64" s="448"/>
      <c r="O64" s="448"/>
      <c r="P64" s="449"/>
      <c r="Q64" s="260"/>
      <c r="R64" s="134">
        <v>0</v>
      </c>
      <c r="S64" s="134">
        <v>0</v>
      </c>
      <c r="T64" s="134">
        <v>0</v>
      </c>
      <c r="U64" s="134">
        <v>0</v>
      </c>
      <c r="V64" s="134">
        <v>0</v>
      </c>
      <c r="W64" s="134">
        <v>0</v>
      </c>
      <c r="X64" s="134">
        <v>0</v>
      </c>
      <c r="Y64" s="77">
        <f t="shared" si="24"/>
        <v>0</v>
      </c>
    </row>
    <row r="65" spans="2:35" x14ac:dyDescent="0.25">
      <c r="B65" s="120" t="s">
        <v>305</v>
      </c>
      <c r="D65" t="s">
        <v>4</v>
      </c>
      <c r="E65" t="s">
        <v>29</v>
      </c>
      <c r="F65" t="str">
        <f t="shared" si="22"/>
        <v>LandNon-Network</v>
      </c>
      <c r="G65" s="170">
        <v>0</v>
      </c>
      <c r="H65" s="190"/>
      <c r="I65" s="123" t="s">
        <v>294</v>
      </c>
      <c r="K65" s="166">
        <v>0</v>
      </c>
      <c r="L65" s="166">
        <f t="shared" si="23"/>
        <v>0</v>
      </c>
      <c r="M65" s="188"/>
      <c r="N65" s="448"/>
      <c r="O65" s="446"/>
      <c r="P65" s="449"/>
      <c r="R65" s="134">
        <v>0</v>
      </c>
      <c r="S65" s="134">
        <v>0</v>
      </c>
      <c r="T65" s="134">
        <v>0</v>
      </c>
      <c r="U65" s="134">
        <v>0</v>
      </c>
      <c r="V65" s="134">
        <v>0</v>
      </c>
      <c r="W65" s="134">
        <v>0</v>
      </c>
      <c r="X65" s="134">
        <v>0</v>
      </c>
      <c r="Y65" s="77">
        <f t="shared" si="24"/>
        <v>0</v>
      </c>
    </row>
    <row r="66" spans="2:35" x14ac:dyDescent="0.25">
      <c r="B66" s="84"/>
      <c r="G66" s="169"/>
      <c r="H66" s="84"/>
      <c r="I66" s="167"/>
      <c r="K66" s="191"/>
      <c r="L66" s="191"/>
      <c r="M66" s="192"/>
      <c r="N66" s="192"/>
      <c r="O66" s="192"/>
      <c r="P66" s="192"/>
    </row>
    <row r="67" spans="2:35" x14ac:dyDescent="0.25">
      <c r="B67" s="120" t="s">
        <v>306</v>
      </c>
      <c r="G67" s="169"/>
      <c r="H67" s="84"/>
      <c r="I67" s="167"/>
      <c r="K67" s="193">
        <v>2349.8370197158297</v>
      </c>
      <c r="L67" s="193">
        <v>556.73738824693078</v>
      </c>
      <c r="M67" s="194">
        <v>550</v>
      </c>
      <c r="N67" s="194">
        <v>2000.0104991114135</v>
      </c>
      <c r="O67" s="194">
        <v>65.492483340100534</v>
      </c>
      <c r="P67" s="194">
        <v>5522.0773904142752</v>
      </c>
      <c r="S67" s="163"/>
      <c r="T67" s="163"/>
    </row>
    <row r="68" spans="2:35" x14ac:dyDescent="0.25">
      <c r="B68" s="195" t="s">
        <v>307</v>
      </c>
      <c r="C68" s="102"/>
      <c r="D68" s="102"/>
      <c r="E68" s="102"/>
      <c r="F68" s="102"/>
      <c r="G68" s="261"/>
      <c r="H68" s="195"/>
      <c r="I68" s="196"/>
      <c r="J68" s="102"/>
      <c r="K68" s="197"/>
      <c r="L68" s="198"/>
      <c r="M68" s="198"/>
      <c r="N68" s="198"/>
      <c r="O68" s="198"/>
      <c r="P68" s="199"/>
    </row>
    <row r="69" spans="2:35" ht="30" x14ac:dyDescent="0.25">
      <c r="B69" s="143" t="s">
        <v>308</v>
      </c>
      <c r="C69" s="117"/>
      <c r="D69" s="117"/>
      <c r="E69" s="117"/>
      <c r="F69" s="117"/>
      <c r="G69" s="202" t="s">
        <v>309</v>
      </c>
      <c r="H69" s="201" t="s">
        <v>279</v>
      </c>
      <c r="I69" s="67" t="s">
        <v>280</v>
      </c>
      <c r="J69" s="102"/>
      <c r="K69" s="67" t="s">
        <v>21</v>
      </c>
      <c r="L69" s="67" t="s">
        <v>22</v>
      </c>
      <c r="M69" s="202" t="s">
        <v>23</v>
      </c>
      <c r="N69" s="202" t="s">
        <v>24</v>
      </c>
      <c r="O69" s="68" t="s">
        <v>25</v>
      </c>
      <c r="P69" s="68" t="s">
        <v>26</v>
      </c>
    </row>
    <row r="70" spans="2:35" x14ac:dyDescent="0.25">
      <c r="B70" s="120"/>
      <c r="G70" s="169"/>
      <c r="H70" s="84"/>
      <c r="I70" s="167"/>
      <c r="K70" s="203"/>
      <c r="L70" s="203"/>
      <c r="M70" s="204"/>
      <c r="N70" s="204"/>
      <c r="O70" s="204"/>
      <c r="P70" s="169"/>
    </row>
    <row r="71" spans="2:35" x14ac:dyDescent="0.25">
      <c r="B71" s="120" t="s">
        <v>310</v>
      </c>
      <c r="G71" s="169"/>
      <c r="H71" s="84"/>
      <c r="I71" s="167"/>
      <c r="K71" s="203"/>
      <c r="L71" s="203"/>
      <c r="M71" s="204"/>
      <c r="N71" s="204"/>
      <c r="O71" s="204"/>
      <c r="P71" s="169"/>
      <c r="R71" s="262"/>
      <c r="S71" s="262"/>
      <c r="T71" s="262"/>
      <c r="AI71" t="s">
        <v>311</v>
      </c>
    </row>
    <row r="72" spans="2:35" x14ac:dyDescent="0.25">
      <c r="B72" s="120"/>
      <c r="C72" s="108" t="s">
        <v>312</v>
      </c>
      <c r="D72" s="108" t="str">
        <f>IF($B$3="WYK2",Unit_Rates!G119,Unit_Rates!G120)</f>
        <v>Distribution system assets</v>
      </c>
      <c r="E72" s="108" t="str">
        <f>IF($B$3="WYK2",Unit_Rates!H119,Unit_Rates!H120)</f>
        <v>Augmentation</v>
      </c>
      <c r="F72" s="108" t="str">
        <f t="shared" ref="F72:F81" si="27">D72&amp;E72</f>
        <v>Distribution system assetsAugmentation</v>
      </c>
      <c r="G72" s="170">
        <v>0</v>
      </c>
      <c r="H72" s="205">
        <v>0</v>
      </c>
      <c r="I72" s="167" t="s">
        <v>313</v>
      </c>
      <c r="J72" s="108"/>
      <c r="K72" s="170"/>
      <c r="L72" s="170">
        <f t="shared" ref="L72:L81" si="28">SUMPRODUCT(R$5:X$5,R72:X72)/Thousands</f>
        <v>0</v>
      </c>
      <c r="M72" s="170">
        <f>$H72*IF($B$3="WYK2",Unit_Rates!K119,Unit_Rates!K120)</f>
        <v>0</v>
      </c>
      <c r="N72" s="170">
        <f>$H72*IF($B$3="WYK2",Unit_Rates!L119,Unit_Rates!L120)</f>
        <v>0</v>
      </c>
      <c r="O72" s="170">
        <f>$H72*IF($B$3="WYK2",Unit_Rates!M119,Unit_Rates!M120)</f>
        <v>0</v>
      </c>
      <c r="P72" s="206">
        <f t="shared" ref="P72:P81" si="29">SUM(K72:O72)</f>
        <v>0</v>
      </c>
      <c r="Q72" s="208"/>
      <c r="R72" s="207">
        <f t="shared" ref="R72:X77" si="30">$AI72*Z72*$H72</f>
        <v>0</v>
      </c>
      <c r="S72" s="207">
        <f t="shared" si="30"/>
        <v>0</v>
      </c>
      <c r="T72" s="207">
        <f t="shared" si="30"/>
        <v>0</v>
      </c>
      <c r="U72" s="207">
        <f t="shared" si="30"/>
        <v>0</v>
      </c>
      <c r="V72" s="207">
        <f t="shared" si="30"/>
        <v>0</v>
      </c>
      <c r="W72" s="207">
        <f t="shared" si="30"/>
        <v>0</v>
      </c>
      <c r="X72" s="207">
        <f t="shared" si="30"/>
        <v>0</v>
      </c>
      <c r="Y72" s="77">
        <f t="shared" ref="Y72:Y81" si="31">SUM(R72:X72)</f>
        <v>0</v>
      </c>
      <c r="Z72" s="6">
        <v>0.27203065134099613</v>
      </c>
      <c r="AA72" s="6">
        <v>0.72796934865900376</v>
      </c>
      <c r="AB72" s="6">
        <v>0</v>
      </c>
      <c r="AC72" s="6">
        <v>0</v>
      </c>
      <c r="AD72" s="6">
        <v>0</v>
      </c>
      <c r="AE72" s="6">
        <v>0</v>
      </c>
      <c r="AF72" s="6">
        <v>0</v>
      </c>
      <c r="AG72" s="8">
        <f>SUM(Z72:AF72)</f>
        <v>0.99999999999999989</v>
      </c>
      <c r="AH72" t="b">
        <f>AG72=1</f>
        <v>1</v>
      </c>
      <c r="AI72" s="96">
        <v>54.415307635285394</v>
      </c>
    </row>
    <row r="73" spans="2:35" x14ac:dyDescent="0.25">
      <c r="B73" s="120"/>
      <c r="C73" t="s">
        <v>212</v>
      </c>
      <c r="D73" t="str">
        <f>Unit_Rates!G121</f>
        <v>Distribution system assets</v>
      </c>
      <c r="E73" t="str">
        <f>Unit_Rates!H121</f>
        <v>Augmentation</v>
      </c>
      <c r="F73" t="str">
        <f t="shared" si="27"/>
        <v>Distribution system assetsAugmentation</v>
      </c>
      <c r="G73" s="446"/>
      <c r="H73" s="205">
        <v>0</v>
      </c>
      <c r="I73" s="167" t="s">
        <v>314</v>
      </c>
      <c r="J73" s="108"/>
      <c r="K73" s="446"/>
      <c r="L73" s="446"/>
      <c r="M73" s="446"/>
      <c r="N73" s="446"/>
      <c r="O73" s="446"/>
      <c r="P73" s="446"/>
      <c r="Q73" s="208">
        <f>P73-H73*Unit_Rates!$E$121</f>
        <v>0</v>
      </c>
      <c r="R73" s="453"/>
      <c r="S73" s="453"/>
      <c r="T73" s="453"/>
      <c r="U73" s="453"/>
      <c r="V73" s="453"/>
      <c r="W73" s="453"/>
      <c r="X73" s="453"/>
      <c r="Y73" s="454"/>
      <c r="Z73" s="6">
        <v>0</v>
      </c>
      <c r="AA73" s="6">
        <v>0.14071351127025331</v>
      </c>
      <c r="AB73" s="6">
        <v>0.24322448098123187</v>
      </c>
      <c r="AC73" s="6">
        <v>0</v>
      </c>
      <c r="AD73" s="6">
        <v>0.1760177164995757</v>
      </c>
      <c r="AE73" s="6">
        <v>0.44004429124893918</v>
      </c>
      <c r="AF73" s="6">
        <v>0</v>
      </c>
      <c r="AG73" s="8">
        <f t="shared" ref="AG73:AG77" si="32">SUM(Z73:AF73)</f>
        <v>1</v>
      </c>
      <c r="AH73" t="b">
        <f t="shared" ref="AH73:AH77" si="33">AG73=1</f>
        <v>1</v>
      </c>
      <c r="AI73" s="455"/>
    </row>
    <row r="74" spans="2:35" x14ac:dyDescent="0.25">
      <c r="B74" s="120"/>
      <c r="C74" t="s">
        <v>214</v>
      </c>
      <c r="D74" t="str">
        <f>Unit_Rates!G122</f>
        <v>Distribution system assets</v>
      </c>
      <c r="E74" t="str">
        <f>Unit_Rates!H122</f>
        <v>Augmentation</v>
      </c>
      <c r="F74" t="str">
        <f t="shared" si="27"/>
        <v>Distribution system assetsAugmentation</v>
      </c>
      <c r="G74" s="446"/>
      <c r="H74" s="205">
        <v>0</v>
      </c>
      <c r="I74" s="167" t="s">
        <v>315</v>
      </c>
      <c r="J74" s="108"/>
      <c r="K74" s="446"/>
      <c r="L74" s="446"/>
      <c r="M74" s="446"/>
      <c r="N74" s="446"/>
      <c r="O74" s="446"/>
      <c r="P74" s="446"/>
      <c r="Q74" s="208">
        <f>P74-H74*Unit_Rates!$E$122</f>
        <v>0</v>
      </c>
      <c r="R74" s="453"/>
      <c r="S74" s="453"/>
      <c r="T74" s="453"/>
      <c r="U74" s="453"/>
      <c r="V74" s="453"/>
      <c r="W74" s="453"/>
      <c r="X74" s="453"/>
      <c r="Y74" s="454"/>
      <c r="Z74" s="6">
        <v>0</v>
      </c>
      <c r="AA74" s="6">
        <v>0.11317869701862385</v>
      </c>
      <c r="AB74" s="6">
        <v>0.25101832039696309</v>
      </c>
      <c r="AC74" s="6">
        <v>0</v>
      </c>
      <c r="AD74" s="6">
        <v>0.18165799502411806</v>
      </c>
      <c r="AE74" s="6">
        <v>0.45414498756029509</v>
      </c>
      <c r="AF74" s="6">
        <v>0</v>
      </c>
      <c r="AG74" s="8">
        <f t="shared" si="32"/>
        <v>1</v>
      </c>
      <c r="AH74" t="b">
        <f t="shared" si="33"/>
        <v>1</v>
      </c>
      <c r="AI74" s="455"/>
    </row>
    <row r="75" spans="2:35" x14ac:dyDescent="0.25">
      <c r="B75" s="120"/>
      <c r="C75" t="s">
        <v>216</v>
      </c>
      <c r="D75" t="str">
        <f>Unit_Rates!G123</f>
        <v>Distribution system assets</v>
      </c>
      <c r="E75" t="str">
        <f>Unit_Rates!H123</f>
        <v>Augmentation</v>
      </c>
      <c r="F75" t="str">
        <f t="shared" si="27"/>
        <v>Distribution system assetsAugmentation</v>
      </c>
      <c r="G75" s="446"/>
      <c r="H75" s="205">
        <v>0</v>
      </c>
      <c r="I75" s="167" t="s">
        <v>316</v>
      </c>
      <c r="J75" s="108"/>
      <c r="K75" s="446"/>
      <c r="L75" s="446"/>
      <c r="M75" s="446"/>
      <c r="N75" s="446"/>
      <c r="O75" s="446"/>
      <c r="P75" s="446"/>
      <c r="Q75" s="208">
        <f>P75-H75*Unit_Rates!$E$123</f>
        <v>0</v>
      </c>
      <c r="R75" s="453"/>
      <c r="S75" s="453"/>
      <c r="T75" s="453"/>
      <c r="U75" s="453"/>
      <c r="V75" s="453"/>
      <c r="W75" s="453"/>
      <c r="X75" s="453"/>
      <c r="Y75" s="454"/>
      <c r="Z75" s="6">
        <v>0</v>
      </c>
      <c r="AA75" s="6">
        <v>0.17737095137749856</v>
      </c>
      <c r="AB75" s="6">
        <v>0.23284844579258887</v>
      </c>
      <c r="AC75" s="6">
        <v>0</v>
      </c>
      <c r="AD75" s="6">
        <v>0.16850874366568935</v>
      </c>
      <c r="AE75" s="6">
        <v>0.42127185916422333</v>
      </c>
      <c r="AF75" s="6">
        <v>0</v>
      </c>
      <c r="AG75" s="8">
        <f t="shared" si="32"/>
        <v>1</v>
      </c>
      <c r="AH75" t="b">
        <f t="shared" si="33"/>
        <v>1</v>
      </c>
      <c r="AI75" s="455"/>
    </row>
    <row r="76" spans="2:35" x14ac:dyDescent="0.25">
      <c r="B76" s="120"/>
      <c r="C76" t="s">
        <v>218</v>
      </c>
      <c r="D76" t="str">
        <f>Unit_Rates!G124</f>
        <v>Distribution system assets</v>
      </c>
      <c r="E76" t="str">
        <f>Unit_Rates!H124</f>
        <v>Augmentation</v>
      </c>
      <c r="F76" t="str">
        <f t="shared" si="27"/>
        <v>Distribution system assetsAugmentation</v>
      </c>
      <c r="G76" s="170">
        <f>Unit_Rates!I124</f>
        <v>18.133609302325581</v>
      </c>
      <c r="H76" s="205">
        <v>0</v>
      </c>
      <c r="I76" s="167" t="s">
        <v>317</v>
      </c>
      <c r="J76" s="108"/>
      <c r="K76" s="170">
        <f t="shared" ref="K76:K81" si="34">G76*H76</f>
        <v>0</v>
      </c>
      <c r="L76" s="170">
        <f t="shared" si="28"/>
        <v>0</v>
      </c>
      <c r="M76" s="170">
        <f>$H76*Unit_Rates!K124</f>
        <v>0</v>
      </c>
      <c r="N76" s="170">
        <f>$H76*Unit_Rates!L124</f>
        <v>0</v>
      </c>
      <c r="O76" s="170">
        <f>$H76*Unit_Rates!M124</f>
        <v>0</v>
      </c>
      <c r="P76" s="206">
        <f t="shared" si="29"/>
        <v>0</v>
      </c>
      <c r="Q76" s="208">
        <f>P76-H76*Unit_Rates!$E$124</f>
        <v>0</v>
      </c>
      <c r="R76" s="207">
        <f t="shared" si="30"/>
        <v>0</v>
      </c>
      <c r="S76" s="207">
        <f t="shared" si="30"/>
        <v>0</v>
      </c>
      <c r="T76" s="207">
        <f t="shared" si="30"/>
        <v>0</v>
      </c>
      <c r="U76" s="207">
        <f t="shared" si="30"/>
        <v>0</v>
      </c>
      <c r="V76" s="207">
        <f t="shared" si="30"/>
        <v>0</v>
      </c>
      <c r="W76" s="207">
        <f t="shared" si="30"/>
        <v>0</v>
      </c>
      <c r="X76" s="207">
        <f t="shared" si="30"/>
        <v>0</v>
      </c>
      <c r="Y76" s="77">
        <f t="shared" si="31"/>
        <v>0</v>
      </c>
      <c r="Z76" s="6">
        <v>0</v>
      </c>
      <c r="AA76" s="6">
        <v>6.9240660967474346E-2</v>
      </c>
      <c r="AB76" s="6">
        <v>0.26345515741702774</v>
      </c>
      <c r="AC76" s="6">
        <v>0</v>
      </c>
      <c r="AD76" s="6">
        <v>0.19065833760442799</v>
      </c>
      <c r="AE76" s="6">
        <v>0.47664584401106991</v>
      </c>
      <c r="AF76" s="6">
        <v>0</v>
      </c>
      <c r="AG76" s="8">
        <f t="shared" si="32"/>
        <v>1</v>
      </c>
      <c r="AH76" t="b">
        <f t="shared" si="33"/>
        <v>1</v>
      </c>
      <c r="AI76" s="97">
        <v>20.21933327091789</v>
      </c>
    </row>
    <row r="77" spans="2:35" x14ac:dyDescent="0.25">
      <c r="B77" s="120"/>
      <c r="C77" s="108" t="s">
        <v>222</v>
      </c>
      <c r="D77" t="str">
        <f>Unit_Rates!G125</f>
        <v>Distribution system assets</v>
      </c>
      <c r="E77" s="108" t="str">
        <f>Unit_Rates!H125</f>
        <v>Augmentation</v>
      </c>
      <c r="F77" s="108" t="str">
        <f t="shared" si="27"/>
        <v>Distribution system assetsAugmentation</v>
      </c>
      <c r="G77" s="170">
        <f>Unit_Rates!I125</f>
        <v>0</v>
      </c>
      <c r="H77" s="205">
        <v>0</v>
      </c>
      <c r="I77" s="167" t="s">
        <v>313</v>
      </c>
      <c r="J77" s="108"/>
      <c r="K77" s="170">
        <f t="shared" si="34"/>
        <v>0</v>
      </c>
      <c r="L77" s="170">
        <f t="shared" si="28"/>
        <v>0</v>
      </c>
      <c r="M77" s="170">
        <f>$H77*Unit_Rates!K125</f>
        <v>0</v>
      </c>
      <c r="N77" s="170">
        <f>$H77*Unit_Rates!L125</f>
        <v>0</v>
      </c>
      <c r="O77" s="170">
        <f>$H77*Unit_Rates!M125</f>
        <v>0</v>
      </c>
      <c r="P77" s="206">
        <f t="shared" si="29"/>
        <v>0</v>
      </c>
      <c r="Q77" s="208">
        <f>P77-H77*Unit_Rates!$E$125</f>
        <v>0</v>
      </c>
      <c r="R77" s="207">
        <f t="shared" si="30"/>
        <v>0</v>
      </c>
      <c r="S77" s="207">
        <f t="shared" si="30"/>
        <v>0</v>
      </c>
      <c r="T77" s="207">
        <f t="shared" si="30"/>
        <v>0</v>
      </c>
      <c r="U77" s="207">
        <f t="shared" si="30"/>
        <v>0</v>
      </c>
      <c r="V77" s="207">
        <f t="shared" si="30"/>
        <v>0</v>
      </c>
      <c r="W77" s="207">
        <f t="shared" si="30"/>
        <v>0</v>
      </c>
      <c r="X77" s="207">
        <f t="shared" si="30"/>
        <v>0</v>
      </c>
      <c r="Y77" s="77">
        <f t="shared" si="31"/>
        <v>0</v>
      </c>
      <c r="Z77" s="6">
        <v>0</v>
      </c>
      <c r="AA77" s="6">
        <v>0</v>
      </c>
      <c r="AB77" s="6">
        <v>0</v>
      </c>
      <c r="AC77" s="6">
        <v>0</v>
      </c>
      <c r="AD77" s="6">
        <v>0</v>
      </c>
      <c r="AE77" s="6">
        <v>0</v>
      </c>
      <c r="AF77" s="6">
        <v>1</v>
      </c>
      <c r="AG77" s="8">
        <f t="shared" si="32"/>
        <v>1</v>
      </c>
      <c r="AH77" t="b">
        <f t="shared" si="33"/>
        <v>1</v>
      </c>
      <c r="AI77" s="97">
        <v>46.398135736397627</v>
      </c>
    </row>
    <row r="78" spans="2:35" x14ac:dyDescent="0.25">
      <c r="B78" s="120"/>
      <c r="C78" s="209" t="s">
        <v>224</v>
      </c>
      <c r="D78" t="str">
        <f>Unit_Rates!G126</f>
        <v>Distribution system assets</v>
      </c>
      <c r="E78" s="108" t="str">
        <f>Unit_Rates!H126</f>
        <v>Replacement</v>
      </c>
      <c r="F78" s="108" t="str">
        <f t="shared" si="27"/>
        <v>Distribution system assetsReplacement</v>
      </c>
      <c r="G78" s="170">
        <f>Unit_Rates!I126</f>
        <v>0</v>
      </c>
      <c r="H78" s="205">
        <v>0</v>
      </c>
      <c r="I78" s="167" t="s">
        <v>318</v>
      </c>
      <c r="J78" s="108"/>
      <c r="K78" s="170">
        <f t="shared" si="34"/>
        <v>0</v>
      </c>
      <c r="L78" s="170">
        <f t="shared" si="28"/>
        <v>0</v>
      </c>
      <c r="M78" s="170">
        <f>$H78*Unit_Rates!K126</f>
        <v>0</v>
      </c>
      <c r="N78" s="170">
        <f>$H78*Unit_Rates!L126</f>
        <v>0</v>
      </c>
      <c r="O78" s="170">
        <f>$H78*Unit_Rates!M126</f>
        <v>0</v>
      </c>
      <c r="P78" s="206">
        <f t="shared" si="29"/>
        <v>0</v>
      </c>
      <c r="Q78" s="163">
        <f>P78-H78*Unit_Rates!$E$126</f>
        <v>0</v>
      </c>
      <c r="R78" s="210"/>
      <c r="S78" s="210"/>
      <c r="T78" s="210"/>
      <c r="U78" s="210"/>
      <c r="V78" s="210"/>
      <c r="W78" s="210"/>
      <c r="X78" s="210"/>
      <c r="Y78" s="77">
        <f t="shared" si="31"/>
        <v>0</v>
      </c>
      <c r="Z78" s="6"/>
      <c r="AA78" s="6"/>
      <c r="AB78" s="6"/>
      <c r="AC78" s="6"/>
      <c r="AD78" s="6"/>
      <c r="AE78" s="6"/>
      <c r="AF78" s="6"/>
      <c r="AI78" s="97">
        <v>0</v>
      </c>
    </row>
    <row r="79" spans="2:35" x14ac:dyDescent="0.25">
      <c r="B79" s="120"/>
      <c r="C79" s="209" t="s">
        <v>226</v>
      </c>
      <c r="D79" t="str">
        <f>Unit_Rates!G127</f>
        <v>Distribution system assets</v>
      </c>
      <c r="E79" s="108" t="str">
        <f>Unit_Rates!H127</f>
        <v>Replacement</v>
      </c>
      <c r="F79" s="108" t="str">
        <f t="shared" si="27"/>
        <v>Distribution system assetsReplacement</v>
      </c>
      <c r="G79" s="170">
        <f>Unit_Rates!I127</f>
        <v>0</v>
      </c>
      <c r="H79" s="205">
        <v>0</v>
      </c>
      <c r="I79" s="167" t="s">
        <v>319</v>
      </c>
      <c r="J79" s="108"/>
      <c r="K79" s="170">
        <f t="shared" si="34"/>
        <v>0</v>
      </c>
      <c r="L79" s="170">
        <f t="shared" ref="L79" si="35">SUMPRODUCT(R$5:X$5,R79:X79)/Thousands</f>
        <v>0</v>
      </c>
      <c r="M79" s="170">
        <f>$H79*Unit_Rates!K127</f>
        <v>0</v>
      </c>
      <c r="N79" s="170">
        <f>$H79*Unit_Rates!L127</f>
        <v>0</v>
      </c>
      <c r="O79" s="170">
        <f>$H79*Unit_Rates!M127</f>
        <v>0</v>
      </c>
      <c r="P79" s="206">
        <f t="shared" ref="P79:P80" si="36">SUM(K79:O79)</f>
        <v>0</v>
      </c>
      <c r="Q79" s="208">
        <f>P79-H79*Unit_Rates!$E127</f>
        <v>0</v>
      </c>
      <c r="R79" s="207">
        <f t="shared" ref="R79:X81" si="37">$AI79*Z79*$H79</f>
        <v>0</v>
      </c>
      <c r="S79" s="207">
        <f t="shared" si="37"/>
        <v>0</v>
      </c>
      <c r="T79" s="207">
        <f t="shared" si="37"/>
        <v>0</v>
      </c>
      <c r="U79" s="207">
        <f t="shared" si="37"/>
        <v>0</v>
      </c>
      <c r="V79" s="207">
        <f t="shared" si="37"/>
        <v>0</v>
      </c>
      <c r="W79" s="207">
        <f t="shared" si="37"/>
        <v>0</v>
      </c>
      <c r="X79" s="207">
        <f t="shared" si="37"/>
        <v>0</v>
      </c>
      <c r="Y79" s="77">
        <f t="shared" si="31"/>
        <v>0</v>
      </c>
      <c r="Z79" s="6">
        <v>0</v>
      </c>
      <c r="AA79" s="6">
        <v>0</v>
      </c>
      <c r="AB79" s="6">
        <v>0</v>
      </c>
      <c r="AC79" s="6">
        <v>0</v>
      </c>
      <c r="AD79" s="6">
        <v>0</v>
      </c>
      <c r="AE79" s="6">
        <v>0</v>
      </c>
      <c r="AF79" s="6">
        <v>1</v>
      </c>
      <c r="AG79" s="8">
        <f>SUM(Z79:AF79)</f>
        <v>1</v>
      </c>
      <c r="AH79" t="b">
        <f>AG79=1</f>
        <v>1</v>
      </c>
      <c r="AI79" s="97">
        <v>1.2068965517241379</v>
      </c>
    </row>
    <row r="80" spans="2:35" x14ac:dyDescent="0.25">
      <c r="B80" s="120"/>
      <c r="C80" s="209" t="s">
        <v>228</v>
      </c>
      <c r="D80" t="str">
        <f>Unit_Rates!G128</f>
        <v>Distribution system assets</v>
      </c>
      <c r="E80" s="108" t="str">
        <f>Unit_Rates!H128</f>
        <v>Augmentation</v>
      </c>
      <c r="F80" s="108" t="str">
        <f t="shared" si="27"/>
        <v>Distribution system assetsAugmentation</v>
      </c>
      <c r="G80" s="170">
        <f>Unit_Rates!I128</f>
        <v>12.429112570356471</v>
      </c>
      <c r="H80" s="205">
        <v>0</v>
      </c>
      <c r="I80" s="167" t="s">
        <v>320</v>
      </c>
      <c r="J80" s="108"/>
      <c r="K80" s="170">
        <f t="shared" si="34"/>
        <v>0</v>
      </c>
      <c r="L80" s="170">
        <f t="shared" ref="L80" si="38">SUMPRODUCT(R$5:X$5,R80:X80)/Thousands</f>
        <v>0</v>
      </c>
      <c r="M80" s="170">
        <f>$H80*Unit_Rates!K128</f>
        <v>0</v>
      </c>
      <c r="N80" s="170">
        <f>$H80*Unit_Rates!L128</f>
        <v>0</v>
      </c>
      <c r="O80" s="170">
        <f>$H80*Unit_Rates!M128</f>
        <v>0</v>
      </c>
      <c r="P80" s="206">
        <f t="shared" si="36"/>
        <v>0</v>
      </c>
      <c r="Q80" s="208">
        <f>P80-H80*Unit_Rates!$E128</f>
        <v>0</v>
      </c>
      <c r="R80" s="207">
        <f t="shared" si="37"/>
        <v>0</v>
      </c>
      <c r="S80" s="207">
        <f t="shared" si="37"/>
        <v>0</v>
      </c>
      <c r="T80" s="207">
        <f t="shared" si="37"/>
        <v>0</v>
      </c>
      <c r="U80" s="207">
        <f t="shared" si="37"/>
        <v>0</v>
      </c>
      <c r="V80" s="207">
        <f t="shared" si="37"/>
        <v>0</v>
      </c>
      <c r="W80" s="207">
        <f t="shared" si="37"/>
        <v>0</v>
      </c>
      <c r="X80" s="207">
        <f t="shared" si="37"/>
        <v>0</v>
      </c>
      <c r="Y80" s="77">
        <f t="shared" si="31"/>
        <v>0</v>
      </c>
      <c r="Z80" s="6">
        <v>0</v>
      </c>
      <c r="AA80" s="6">
        <v>0</v>
      </c>
      <c r="AB80" s="6">
        <v>0</v>
      </c>
      <c r="AC80" s="6">
        <v>0</v>
      </c>
      <c r="AD80" s="6">
        <v>0</v>
      </c>
      <c r="AE80" s="6">
        <v>0</v>
      </c>
      <c r="AF80" s="6">
        <v>1</v>
      </c>
      <c r="AG80" s="8">
        <f>SUM(Z80:AF80)</f>
        <v>1</v>
      </c>
      <c r="AH80" t="b">
        <f>AG80=1</f>
        <v>1</v>
      </c>
      <c r="AI80" s="97">
        <v>23.021816563138394</v>
      </c>
    </row>
    <row r="81" spans="2:35" x14ac:dyDescent="0.25">
      <c r="B81" s="120"/>
      <c r="C81" s="209" t="s">
        <v>230</v>
      </c>
      <c r="D81" t="str">
        <f>Unit_Rates!G129</f>
        <v>Distribution system assets</v>
      </c>
      <c r="E81" s="108" t="str">
        <f>Unit_Rates!H129</f>
        <v>Augmentation</v>
      </c>
      <c r="F81" s="108" t="str">
        <f t="shared" si="27"/>
        <v>Distribution system assetsAugmentation</v>
      </c>
      <c r="G81" s="170">
        <f>Unit_Rates!I129</f>
        <v>22.603922249219018</v>
      </c>
      <c r="H81" s="205">
        <v>0</v>
      </c>
      <c r="I81" s="167" t="s">
        <v>321</v>
      </c>
      <c r="J81" s="108"/>
      <c r="K81" s="211">
        <f t="shared" si="34"/>
        <v>0</v>
      </c>
      <c r="L81" s="211">
        <f t="shared" si="28"/>
        <v>0</v>
      </c>
      <c r="M81" s="211">
        <f>$H81*Unit_Rates!K129</f>
        <v>0</v>
      </c>
      <c r="N81" s="211">
        <f>$H81*Unit_Rates!L129</f>
        <v>0</v>
      </c>
      <c r="O81" s="211">
        <f>$H81*Unit_Rates!M129</f>
        <v>0</v>
      </c>
      <c r="P81" s="192">
        <f t="shared" si="29"/>
        <v>0</v>
      </c>
      <c r="Q81" s="208">
        <f>P81-H81*Unit_Rates!$E129</f>
        <v>0</v>
      </c>
      <c r="R81" s="207">
        <f t="shared" si="37"/>
        <v>0</v>
      </c>
      <c r="S81" s="207">
        <f t="shared" si="37"/>
        <v>0</v>
      </c>
      <c r="T81" s="207">
        <f t="shared" si="37"/>
        <v>0</v>
      </c>
      <c r="U81" s="207">
        <f t="shared" si="37"/>
        <v>0</v>
      </c>
      <c r="V81" s="207">
        <f t="shared" si="37"/>
        <v>0</v>
      </c>
      <c r="W81" s="207">
        <f t="shared" si="37"/>
        <v>0</v>
      </c>
      <c r="X81" s="207">
        <f t="shared" si="37"/>
        <v>0</v>
      </c>
      <c r="Y81" s="77">
        <f t="shared" si="31"/>
        <v>0</v>
      </c>
      <c r="Z81" s="6">
        <v>0.30314923274650013</v>
      </c>
      <c r="AA81" s="6">
        <v>0.32449777026385929</v>
      </c>
      <c r="AB81" s="6">
        <v>0.37235299698964064</v>
      </c>
      <c r="AC81" s="6">
        <v>0</v>
      </c>
      <c r="AD81" s="6">
        <v>0</v>
      </c>
      <c r="AE81" s="6">
        <v>0</v>
      </c>
      <c r="AF81" s="6">
        <v>0</v>
      </c>
      <c r="AG81" s="8">
        <f t="shared" ref="AG81" si="39">SUM(Z81:AF81)</f>
        <v>1</v>
      </c>
      <c r="AH81" t="b">
        <f t="shared" ref="AH81" si="40">AG81=1</f>
        <v>1</v>
      </c>
      <c r="AI81" s="97">
        <v>42.965971070585908</v>
      </c>
    </row>
    <row r="82" spans="2:35" x14ac:dyDescent="0.25">
      <c r="B82" s="120"/>
      <c r="C82" t="s">
        <v>322</v>
      </c>
      <c r="G82" s="170"/>
      <c r="H82" s="122"/>
      <c r="I82" s="167"/>
      <c r="K82" s="212">
        <v>0</v>
      </c>
      <c r="L82" s="212">
        <v>0</v>
      </c>
      <c r="M82" s="170">
        <v>0</v>
      </c>
      <c r="N82" s="170">
        <v>0</v>
      </c>
      <c r="O82" s="170">
        <v>0</v>
      </c>
      <c r="P82" s="170">
        <v>0</v>
      </c>
      <c r="Q82" s="163"/>
      <c r="R82" s="263"/>
      <c r="S82" s="263"/>
      <c r="T82" s="263"/>
      <c r="U82" s="127"/>
      <c r="V82" s="127"/>
      <c r="W82" s="127"/>
      <c r="X82" s="127"/>
      <c r="AI82" s="97"/>
    </row>
    <row r="83" spans="2:35" x14ac:dyDescent="0.25">
      <c r="B83" s="120" t="s">
        <v>260</v>
      </c>
      <c r="G83" s="206"/>
      <c r="H83" s="122"/>
      <c r="I83" s="167"/>
      <c r="K83" s="212"/>
      <c r="L83" s="212"/>
      <c r="M83" s="170"/>
      <c r="N83" s="170"/>
      <c r="O83" s="170"/>
      <c r="P83" s="206"/>
      <c r="R83" s="127"/>
      <c r="S83" s="127"/>
      <c r="T83" s="127"/>
      <c r="U83" s="127"/>
      <c r="V83" s="127"/>
      <c r="W83" s="127"/>
      <c r="X83" s="127"/>
      <c r="AI83" s="97"/>
    </row>
    <row r="84" spans="2:35" x14ac:dyDescent="0.25">
      <c r="B84" s="120"/>
      <c r="C84" t="s">
        <v>323</v>
      </c>
      <c r="D84" t="str">
        <f>Unit_Rates!G137</f>
        <v>Distribution system assets</v>
      </c>
      <c r="E84" t="str">
        <f>Unit_Rates!H137</f>
        <v>Replacement</v>
      </c>
      <c r="F84" t="str">
        <f>D84&amp;E84</f>
        <v>Distribution system assetsReplacement</v>
      </c>
      <c r="G84" s="206">
        <f>Unit_Rates!I137</f>
        <v>0.37850311702696687</v>
      </c>
      <c r="H84" s="213">
        <v>0</v>
      </c>
      <c r="I84" s="123" t="s">
        <v>294</v>
      </c>
      <c r="K84" s="212">
        <f>G84*H84</f>
        <v>0</v>
      </c>
      <c r="L84" s="212">
        <f>SUMPRODUCT(R$5:X$5,R84:X84)/Thousands</f>
        <v>0</v>
      </c>
      <c r="M84" s="170">
        <f>$H84*Unit_Rates!K137</f>
        <v>0</v>
      </c>
      <c r="N84" s="170">
        <f>$H84*Unit_Rates!L137</f>
        <v>0</v>
      </c>
      <c r="O84" s="170">
        <f>$H84*Unit_Rates!M137</f>
        <v>0</v>
      </c>
      <c r="P84" s="206">
        <f>SUM(K84:O84)</f>
        <v>0</v>
      </c>
      <c r="Q84" s="152">
        <f>P84-H84*Unit_Rates!$E$137</f>
        <v>0</v>
      </c>
      <c r="R84" s="207">
        <f t="shared" ref="R84:X86" si="41">$AI84*Z84*$H84</f>
        <v>0</v>
      </c>
      <c r="S84" s="207">
        <f t="shared" si="41"/>
        <v>0</v>
      </c>
      <c r="T84" s="207">
        <f t="shared" si="41"/>
        <v>0</v>
      </c>
      <c r="U84" s="207">
        <f t="shared" si="41"/>
        <v>0</v>
      </c>
      <c r="V84" s="207">
        <f t="shared" si="41"/>
        <v>0</v>
      </c>
      <c r="W84" s="207">
        <f t="shared" si="41"/>
        <v>0</v>
      </c>
      <c r="X84" s="207">
        <f t="shared" si="41"/>
        <v>0</v>
      </c>
      <c r="Y84" s="77">
        <f t="shared" ref="Y84:Y88" si="42">SUM(R84:X84)</f>
        <v>0</v>
      </c>
      <c r="Z84" s="6">
        <v>2.5727805595989302E-2</v>
      </c>
      <c r="AA84" s="6">
        <v>0</v>
      </c>
      <c r="AB84" s="6">
        <v>0.32115728206047139</v>
      </c>
      <c r="AC84" s="6">
        <v>0</v>
      </c>
      <c r="AD84" s="6">
        <v>0</v>
      </c>
      <c r="AE84" s="6">
        <v>0</v>
      </c>
      <c r="AF84" s="6">
        <v>0.65311491234353936</v>
      </c>
      <c r="AG84" s="8">
        <f>SUM(Z84:AF84)</f>
        <v>1</v>
      </c>
      <c r="AH84" t="b">
        <f>AG84=1</f>
        <v>1</v>
      </c>
      <c r="AI84" s="97">
        <v>1.08</v>
      </c>
    </row>
    <row r="85" spans="2:35" x14ac:dyDescent="0.25">
      <c r="B85" s="120"/>
      <c r="C85" t="s">
        <v>238</v>
      </c>
      <c r="D85" t="str">
        <f>Unit_Rates!G138</f>
        <v>Distribution system assets</v>
      </c>
      <c r="E85" t="str">
        <f>Unit_Rates!H138</f>
        <v>Replacement</v>
      </c>
      <c r="F85" t="str">
        <f t="shared" ref="F85:F88" si="43">D85&amp;E85</f>
        <v>Distribution system assetsReplacement</v>
      </c>
      <c r="G85" s="170">
        <f>INDEX(Unit_Rates!$C$136:$K$141,MATCH($C85,Unit_Rates!$D$136:$D$141,0),7)</f>
        <v>0</v>
      </c>
      <c r="H85" s="213">
        <v>0</v>
      </c>
      <c r="I85" s="123" t="s">
        <v>294</v>
      </c>
      <c r="K85" s="212">
        <f>G85*H85</f>
        <v>0</v>
      </c>
      <c r="L85" s="212">
        <f>SUMPRODUCT(R$5:X$5,R85:X85)/Thousands</f>
        <v>0</v>
      </c>
      <c r="M85" s="170">
        <f>$H85*Unit_Rates!K138</f>
        <v>0</v>
      </c>
      <c r="N85" s="170">
        <f>$H85*Unit_Rates!$L$138</f>
        <v>0</v>
      </c>
      <c r="O85" s="170">
        <f>$H85*Unit_Rates!M138</f>
        <v>0</v>
      </c>
      <c r="P85" s="206">
        <f>SUM(K85:O85)</f>
        <v>0</v>
      </c>
      <c r="Q85" s="208">
        <f>P85-H85*Unit_Rates!$E$138</f>
        <v>0</v>
      </c>
      <c r="R85" s="207">
        <f t="shared" si="41"/>
        <v>0</v>
      </c>
      <c r="S85" s="207">
        <f t="shared" si="41"/>
        <v>0</v>
      </c>
      <c r="T85" s="207">
        <f t="shared" si="41"/>
        <v>0</v>
      </c>
      <c r="U85" s="207">
        <f t="shared" si="41"/>
        <v>0</v>
      </c>
      <c r="V85" s="207">
        <f t="shared" si="41"/>
        <v>0</v>
      </c>
      <c r="W85" s="207">
        <f t="shared" si="41"/>
        <v>0</v>
      </c>
      <c r="X85" s="207">
        <f t="shared" si="41"/>
        <v>0</v>
      </c>
      <c r="Y85" s="77">
        <f t="shared" si="42"/>
        <v>0</v>
      </c>
      <c r="Z85" s="6"/>
      <c r="AA85" s="6"/>
      <c r="AB85" s="6"/>
      <c r="AC85" s="6"/>
      <c r="AD85" s="6">
        <v>1</v>
      </c>
      <c r="AE85" s="6"/>
      <c r="AF85" s="6"/>
      <c r="AG85" s="8">
        <f>SUM(Z85:AF85)</f>
        <v>1</v>
      </c>
      <c r="AH85" t="b">
        <f>AG85=1</f>
        <v>1</v>
      </c>
      <c r="AI85" s="97">
        <v>1.8482467232626396</v>
      </c>
    </row>
    <row r="86" spans="2:35" x14ac:dyDescent="0.25">
      <c r="B86" s="120"/>
      <c r="C86" t="s">
        <v>239</v>
      </c>
      <c r="D86" t="str">
        <f>Unit_Rates!G139</f>
        <v>Distribution system assets</v>
      </c>
      <c r="E86" t="str">
        <f>Unit_Rates!H139</f>
        <v>Replacement</v>
      </c>
      <c r="F86" t="str">
        <f t="shared" si="43"/>
        <v>Distribution system assetsReplacement</v>
      </c>
      <c r="G86" s="170">
        <f>INDEX(Unit_Rates!$C$136:$K$141,MATCH($C86,Unit_Rates!$D$136:$D$141,0),7)</f>
        <v>0</v>
      </c>
      <c r="H86" s="213">
        <v>0</v>
      </c>
      <c r="I86" s="123" t="s">
        <v>294</v>
      </c>
      <c r="K86" s="212">
        <f t="shared" ref="K86:K88" si="44">G86*H86</f>
        <v>0</v>
      </c>
      <c r="L86" s="212">
        <f>SUMPRODUCT(R$5:X$5,R86:X86)/Thousands</f>
        <v>0</v>
      </c>
      <c r="M86" s="170"/>
      <c r="N86" s="170">
        <f>$H86*Unit_Rates!$L$139</f>
        <v>0</v>
      </c>
      <c r="O86" s="170"/>
      <c r="P86" s="206">
        <f t="shared" ref="P86:P88" si="45">SUM(K86:O86)</f>
        <v>0</v>
      </c>
      <c r="Q86" s="208">
        <f>P86-H86*Unit_Rates!$E$139</f>
        <v>0</v>
      </c>
      <c r="R86" s="207">
        <f t="shared" si="41"/>
        <v>0</v>
      </c>
      <c r="S86" s="207">
        <f t="shared" si="41"/>
        <v>0</v>
      </c>
      <c r="T86" s="207">
        <f t="shared" si="41"/>
        <v>0</v>
      </c>
      <c r="U86" s="207">
        <f t="shared" si="41"/>
        <v>0</v>
      </c>
      <c r="V86" s="207">
        <f t="shared" si="41"/>
        <v>0</v>
      </c>
      <c r="W86" s="207">
        <f t="shared" si="41"/>
        <v>0</v>
      </c>
      <c r="X86" s="207">
        <f t="shared" si="41"/>
        <v>0</v>
      </c>
      <c r="Y86" s="77">
        <f t="shared" si="42"/>
        <v>0</v>
      </c>
      <c r="Z86" s="6"/>
      <c r="AA86" s="6"/>
      <c r="AB86" s="6"/>
      <c r="AC86" s="6"/>
      <c r="AD86" s="6">
        <v>1</v>
      </c>
      <c r="AE86" s="6"/>
      <c r="AF86" s="6"/>
      <c r="AG86" s="8">
        <f>SUM(Z86:AF86)</f>
        <v>1</v>
      </c>
      <c r="AH86" t="b">
        <f>AG86=1</f>
        <v>1</v>
      </c>
      <c r="AI86" s="97">
        <v>61.608224108754577</v>
      </c>
    </row>
    <row r="87" spans="2:35" x14ac:dyDescent="0.25">
      <c r="B87" s="120"/>
      <c r="C87" t="s">
        <v>240</v>
      </c>
      <c r="D87" t="str">
        <f>Unit_Rates!G140</f>
        <v>Distribution system assets</v>
      </c>
      <c r="E87" t="str">
        <f>Unit_Rates!H140</f>
        <v>Replacement</v>
      </c>
      <c r="F87" t="str">
        <f t="shared" si="43"/>
        <v>Distribution system assetsReplacement</v>
      </c>
      <c r="G87" s="170">
        <f>INDEX(Unit_Rates!$C$136:$K$141,MATCH($C87,Unit_Rates!$D$136:$D$141,0),7)</f>
        <v>5.2025782688766116</v>
      </c>
      <c r="H87" s="213">
        <v>0</v>
      </c>
      <c r="I87" s="123" t="s">
        <v>294</v>
      </c>
      <c r="K87" s="212">
        <f t="shared" si="44"/>
        <v>0</v>
      </c>
      <c r="L87" s="212">
        <f>SUMPRODUCT(R$5:X$5,R87:X87)/Thousands</f>
        <v>0</v>
      </c>
      <c r="M87" s="170"/>
      <c r="N87" s="170">
        <f>$H87*Unit_Rates!$L$140</f>
        <v>0</v>
      </c>
      <c r="O87" s="170"/>
      <c r="P87" s="206">
        <f t="shared" si="45"/>
        <v>0</v>
      </c>
      <c r="Q87" s="163">
        <f>P87-H87*Unit_Rates!$E$140</f>
        <v>0</v>
      </c>
      <c r="R87" s="210"/>
      <c r="S87" s="210"/>
      <c r="T87" s="210"/>
      <c r="U87" s="210"/>
      <c r="V87" s="210"/>
      <c r="W87" s="210"/>
      <c r="X87" s="210"/>
      <c r="Y87" s="77">
        <f t="shared" si="42"/>
        <v>0</v>
      </c>
      <c r="Z87" s="6"/>
      <c r="AA87" s="6"/>
      <c r="AB87" s="6"/>
      <c r="AC87" s="6"/>
      <c r="AD87" s="6"/>
      <c r="AE87" s="6"/>
      <c r="AF87" s="6"/>
      <c r="AG87" s="8">
        <f>SUM(Z87:AF87)</f>
        <v>0</v>
      </c>
      <c r="AH87" t="b">
        <f>AG87=1</f>
        <v>0</v>
      </c>
      <c r="AI87" s="97"/>
    </row>
    <row r="88" spans="2:35" x14ac:dyDescent="0.25">
      <c r="B88" s="120"/>
      <c r="C88" t="s">
        <v>241</v>
      </c>
      <c r="D88" t="str">
        <f>Unit_Rates!G141</f>
        <v>Distribution system assets</v>
      </c>
      <c r="E88" t="str">
        <f>Unit_Rates!H141</f>
        <v>Replacement</v>
      </c>
      <c r="F88" t="str">
        <f t="shared" si="43"/>
        <v>Distribution system assetsReplacement</v>
      </c>
      <c r="G88" s="170">
        <f>INDEX(Unit_Rates!$C$136:$K$141,MATCH($C88,Unit_Rates!$D$136:$D$141,0),7)</f>
        <v>4.9999999999999996E-2</v>
      </c>
      <c r="H88" s="213">
        <v>0</v>
      </c>
      <c r="I88" s="123" t="s">
        <v>324</v>
      </c>
      <c r="K88" s="212">
        <f t="shared" si="44"/>
        <v>0</v>
      </c>
      <c r="L88" s="212">
        <f>SUMPRODUCT(R$5:X$5,R88:X88)/Thousands</f>
        <v>0</v>
      </c>
      <c r="M88" s="170"/>
      <c r="N88" s="170">
        <f>$H88*Unit_Rates!$L$141</f>
        <v>0</v>
      </c>
      <c r="O88" s="170"/>
      <c r="P88" s="206">
        <f t="shared" si="45"/>
        <v>0</v>
      </c>
      <c r="Q88" s="163">
        <f>P88-H88*Unit_Rates!$E$141</f>
        <v>0</v>
      </c>
      <c r="R88" s="210"/>
      <c r="S88" s="210"/>
      <c r="T88" s="210"/>
      <c r="U88" s="210"/>
      <c r="V88" s="210"/>
      <c r="W88" s="210"/>
      <c r="X88" s="210"/>
      <c r="Y88" s="77">
        <f t="shared" si="42"/>
        <v>0</v>
      </c>
      <c r="Z88" s="6"/>
      <c r="AA88" s="6"/>
      <c r="AB88" s="6"/>
      <c r="AC88" s="6"/>
      <c r="AD88" s="6"/>
      <c r="AE88" s="6"/>
      <c r="AF88" s="6"/>
      <c r="AG88" s="8">
        <f>SUM(Z88:AF88)</f>
        <v>0</v>
      </c>
      <c r="AH88" t="b">
        <f>AG88=1</f>
        <v>0</v>
      </c>
      <c r="AI88" s="97"/>
    </row>
    <row r="89" spans="2:35" x14ac:dyDescent="0.25">
      <c r="B89" s="120" t="s">
        <v>325</v>
      </c>
      <c r="G89" s="206"/>
      <c r="H89" s="122"/>
      <c r="I89" s="167"/>
      <c r="K89" s="212"/>
      <c r="L89" s="212"/>
      <c r="M89" s="170"/>
      <c r="N89" s="170"/>
      <c r="O89" s="170"/>
      <c r="P89" s="206"/>
      <c r="R89" s="164"/>
      <c r="S89" s="127"/>
      <c r="T89" s="127"/>
      <c r="U89" s="127"/>
      <c r="V89" s="127"/>
      <c r="W89" s="127"/>
      <c r="X89" s="127"/>
      <c r="Z89" s="6"/>
      <c r="AA89" s="6"/>
      <c r="AB89" s="6"/>
      <c r="AC89" s="6"/>
      <c r="AD89" s="6"/>
      <c r="AE89" s="6"/>
      <c r="AF89" s="6"/>
      <c r="AI89" s="97"/>
    </row>
    <row r="90" spans="2:35" x14ac:dyDescent="0.25">
      <c r="B90" s="120"/>
      <c r="C90" t="s">
        <v>245</v>
      </c>
      <c r="D90" t="str">
        <f>Unit_Rates!G147</f>
        <v>Distribution system assets</v>
      </c>
      <c r="E90" t="str">
        <f>Unit_Rates!H147</f>
        <v>Replacement</v>
      </c>
      <c r="F90" t="str">
        <f t="shared" ref="F90:F93" si="46">D90&amp;E90</f>
        <v>Distribution system assetsReplacement</v>
      </c>
      <c r="G90" s="206">
        <f>Unit_Rates!I147</f>
        <v>14.999999999999996</v>
      </c>
      <c r="H90" s="215">
        <v>0</v>
      </c>
      <c r="I90" s="123" t="s">
        <v>294</v>
      </c>
      <c r="K90" s="212">
        <f>G90*H90</f>
        <v>0</v>
      </c>
      <c r="L90" s="212">
        <f>SUMPRODUCT(R$5:X$5,R90:X90)/Thousands</f>
        <v>0</v>
      </c>
      <c r="M90" s="170">
        <f>$H90*Unit_Rates!K147</f>
        <v>0</v>
      </c>
      <c r="N90" s="170">
        <f>$H90*Unit_Rates!L147</f>
        <v>0</v>
      </c>
      <c r="O90" s="170">
        <f>$H90*Unit_Rates!M147</f>
        <v>0</v>
      </c>
      <c r="P90" s="206">
        <f>SUM(K90:O90)</f>
        <v>0</v>
      </c>
      <c r="Q90" s="152">
        <f>P90-(H90*Unit_Rates!$E$147)</f>
        <v>0</v>
      </c>
      <c r="R90" s="207">
        <f t="shared" ref="R90:X93" si="47">$AI90*Z90*$H90</f>
        <v>0</v>
      </c>
      <c r="S90" s="207">
        <f t="shared" si="47"/>
        <v>0</v>
      </c>
      <c r="T90" s="207">
        <f t="shared" si="47"/>
        <v>0</v>
      </c>
      <c r="U90" s="207">
        <f t="shared" si="47"/>
        <v>0</v>
      </c>
      <c r="V90" s="207">
        <f t="shared" si="47"/>
        <v>0</v>
      </c>
      <c r="W90" s="207">
        <f t="shared" si="47"/>
        <v>0</v>
      </c>
      <c r="X90" s="207">
        <f t="shared" si="47"/>
        <v>0</v>
      </c>
      <c r="Y90" s="77">
        <f t="shared" ref="Y90:Y98" si="48">SUM(R90:X90)</f>
        <v>0</v>
      </c>
      <c r="Z90" s="6">
        <v>0.30314923274650013</v>
      </c>
      <c r="AA90" s="6">
        <v>0.32449777026385929</v>
      </c>
      <c r="AB90" s="6">
        <v>0.37235299698964058</v>
      </c>
      <c r="AC90" s="6">
        <v>0</v>
      </c>
      <c r="AD90" s="6">
        <v>0</v>
      </c>
      <c r="AE90" s="6">
        <v>0</v>
      </c>
      <c r="AF90" s="6">
        <v>0</v>
      </c>
      <c r="AG90" s="8">
        <f t="shared" ref="AG90:AG93" si="49">SUM(Z90:AF90)</f>
        <v>1</v>
      </c>
      <c r="AH90" t="b">
        <f t="shared" ref="AH90:AH98" si="50">AG90=1</f>
        <v>1</v>
      </c>
      <c r="AI90" s="97">
        <v>14.420000000000002</v>
      </c>
    </row>
    <row r="91" spans="2:35" x14ac:dyDescent="0.25">
      <c r="B91" s="120"/>
      <c r="C91" t="s">
        <v>247</v>
      </c>
      <c r="D91" t="str">
        <f>Unit_Rates!G148</f>
        <v>Distribution system assets</v>
      </c>
      <c r="E91" t="str">
        <f>Unit_Rates!H148</f>
        <v>Replacement</v>
      </c>
      <c r="F91" t="str">
        <f t="shared" si="46"/>
        <v>Distribution system assetsReplacement</v>
      </c>
      <c r="G91" s="206">
        <f>Unit_Rates!I148</f>
        <v>22.603922249219018</v>
      </c>
      <c r="H91" s="215">
        <v>0</v>
      </c>
      <c r="I91" s="123" t="s">
        <v>294</v>
      </c>
      <c r="K91" s="212">
        <f>G91*H91</f>
        <v>0</v>
      </c>
      <c r="L91" s="212">
        <f>SUMPRODUCT(R$5:X$5,R91:X91)/Thousands</f>
        <v>0</v>
      </c>
      <c r="M91" s="170">
        <f>$H91*Unit_Rates!K148</f>
        <v>0</v>
      </c>
      <c r="N91" s="170">
        <f>$H91*Unit_Rates!L148</f>
        <v>0</v>
      </c>
      <c r="O91" s="170">
        <f>$H91*Unit_Rates!M148</f>
        <v>0</v>
      </c>
      <c r="P91" s="206">
        <f>SUM(K91:O91)</f>
        <v>0</v>
      </c>
      <c r="Q91" s="152">
        <f>P91-(H91*Unit_Rates!$E$148)</f>
        <v>0</v>
      </c>
      <c r="R91" s="207">
        <f t="shared" si="47"/>
        <v>0</v>
      </c>
      <c r="S91" s="207">
        <f t="shared" si="47"/>
        <v>0</v>
      </c>
      <c r="T91" s="207">
        <f t="shared" si="47"/>
        <v>0</v>
      </c>
      <c r="U91" s="207">
        <f t="shared" si="47"/>
        <v>0</v>
      </c>
      <c r="V91" s="207">
        <f t="shared" si="47"/>
        <v>0</v>
      </c>
      <c r="W91" s="207">
        <f t="shared" si="47"/>
        <v>0</v>
      </c>
      <c r="X91" s="207">
        <f t="shared" si="47"/>
        <v>0</v>
      </c>
      <c r="Y91" s="77">
        <f t="shared" si="48"/>
        <v>0</v>
      </c>
      <c r="Z91" s="6">
        <v>0.30314923274650013</v>
      </c>
      <c r="AA91" s="6">
        <v>0.32449777026385929</v>
      </c>
      <c r="AB91" s="6">
        <v>0.37235299698964064</v>
      </c>
      <c r="AC91" s="6">
        <v>0</v>
      </c>
      <c r="AD91" s="6">
        <v>0</v>
      </c>
      <c r="AE91" s="6">
        <v>0</v>
      </c>
      <c r="AF91" s="6">
        <v>0</v>
      </c>
      <c r="AG91" s="8">
        <f t="shared" si="49"/>
        <v>1</v>
      </c>
      <c r="AH91" t="b">
        <f t="shared" si="50"/>
        <v>1</v>
      </c>
      <c r="AI91" s="97">
        <v>42.965971070585908</v>
      </c>
    </row>
    <row r="92" spans="2:35" x14ac:dyDescent="0.25">
      <c r="B92" s="120"/>
      <c r="C92" t="s">
        <v>249</v>
      </c>
      <c r="D92" t="str">
        <f>Unit_Rates!G150</f>
        <v>Distribution system assets</v>
      </c>
      <c r="E92" t="str">
        <f>Unit_Rates!H150</f>
        <v>Replacement</v>
      </c>
      <c r="F92" t="str">
        <f t="shared" si="46"/>
        <v>Distribution system assetsReplacement</v>
      </c>
      <c r="G92" s="206">
        <f>Unit_Rates!I150</f>
        <v>15.156015503875969</v>
      </c>
      <c r="H92" s="215">
        <v>0</v>
      </c>
      <c r="I92" s="123" t="s">
        <v>294</v>
      </c>
      <c r="K92" s="212">
        <f>G92*H92</f>
        <v>0</v>
      </c>
      <c r="L92" s="212">
        <f>SUMPRODUCT(R$5:X$5,R92:X92)/Thousands</f>
        <v>0</v>
      </c>
      <c r="M92" s="170">
        <f>$H92*Unit_Rates!K150</f>
        <v>0</v>
      </c>
      <c r="N92" s="170">
        <f>$H92*Unit_Rates!L150</f>
        <v>0</v>
      </c>
      <c r="O92" s="170">
        <f>$H92*Unit_Rates!M150</f>
        <v>0</v>
      </c>
      <c r="P92" s="206">
        <f>SUM(K92:O92)</f>
        <v>0</v>
      </c>
      <c r="Q92" s="152">
        <f>P92-(H92*Unit_Rates!$E$150)</f>
        <v>0</v>
      </c>
      <c r="R92" s="207">
        <f t="shared" si="47"/>
        <v>0</v>
      </c>
      <c r="S92" s="207">
        <f t="shared" si="47"/>
        <v>0</v>
      </c>
      <c r="T92" s="207">
        <f t="shared" si="47"/>
        <v>0</v>
      </c>
      <c r="U92" s="207">
        <f t="shared" si="47"/>
        <v>0</v>
      </c>
      <c r="V92" s="207">
        <f t="shared" si="47"/>
        <v>0</v>
      </c>
      <c r="W92" s="207">
        <f t="shared" si="47"/>
        <v>0</v>
      </c>
      <c r="X92" s="207">
        <f t="shared" si="47"/>
        <v>0</v>
      </c>
      <c r="Y92" s="77">
        <f t="shared" si="48"/>
        <v>0</v>
      </c>
      <c r="Z92" s="6">
        <v>0.11818857666880556</v>
      </c>
      <c r="AA92" s="6">
        <v>0.49778875974979209</v>
      </c>
      <c r="AB92" s="6">
        <v>0.3840226635814023</v>
      </c>
      <c r="AC92" s="6">
        <v>0</v>
      </c>
      <c r="AD92" s="6">
        <v>0</v>
      </c>
      <c r="AE92" s="6">
        <v>0</v>
      </c>
      <c r="AF92" s="6">
        <v>0</v>
      </c>
      <c r="AG92" s="8">
        <f t="shared" si="49"/>
        <v>1</v>
      </c>
      <c r="AH92" t="b">
        <f t="shared" si="50"/>
        <v>1</v>
      </c>
      <c r="AI92" s="97">
        <v>144.70421211980818</v>
      </c>
    </row>
    <row r="93" spans="2:35" x14ac:dyDescent="0.25">
      <c r="B93" s="120"/>
      <c r="C93" t="s">
        <v>251</v>
      </c>
      <c r="D93" t="str">
        <f>Unit_Rates!G151</f>
        <v>Distribution system assets</v>
      </c>
      <c r="E93" t="str">
        <f>Unit_Rates!H151</f>
        <v>Replacement</v>
      </c>
      <c r="F93" t="str">
        <f t="shared" si="46"/>
        <v>Distribution system assetsReplacement</v>
      </c>
      <c r="G93" s="206">
        <f>Unit_Rates!I151</f>
        <v>193.23046251162791</v>
      </c>
      <c r="H93" s="215">
        <v>0</v>
      </c>
      <c r="I93" s="123" t="s">
        <v>294</v>
      </c>
      <c r="K93" s="212">
        <f>G93*H93</f>
        <v>0</v>
      </c>
      <c r="L93" s="212">
        <f>SUMPRODUCT(R$5:X$5,R93:X93)/Thousands</f>
        <v>0</v>
      </c>
      <c r="M93" s="170">
        <f>$H93*Unit_Rates!K151</f>
        <v>0</v>
      </c>
      <c r="N93" s="170">
        <f>$H93*Unit_Rates!L151</f>
        <v>0</v>
      </c>
      <c r="O93" s="170">
        <f>$H93*Unit_Rates!M151</f>
        <v>0</v>
      </c>
      <c r="P93" s="206">
        <f>SUM(K93:O93)</f>
        <v>0</v>
      </c>
      <c r="Q93" s="152">
        <f>P93-(H93*Unit_Rates!$E$151)</f>
        <v>0</v>
      </c>
      <c r="R93" s="207">
        <f t="shared" si="47"/>
        <v>0</v>
      </c>
      <c r="S93" s="207">
        <f t="shared" si="47"/>
        <v>0</v>
      </c>
      <c r="T93" s="207">
        <f t="shared" si="47"/>
        <v>0</v>
      </c>
      <c r="U93" s="207">
        <f t="shared" si="47"/>
        <v>0</v>
      </c>
      <c r="V93" s="207">
        <f t="shared" si="47"/>
        <v>0</v>
      </c>
      <c r="W93" s="207">
        <f t="shared" si="47"/>
        <v>0</v>
      </c>
      <c r="X93" s="207">
        <f t="shared" si="47"/>
        <v>0</v>
      </c>
      <c r="Y93" s="77">
        <f t="shared" si="48"/>
        <v>0</v>
      </c>
      <c r="Z93" s="6">
        <v>0.69942688247564233</v>
      </c>
      <c r="AA93" s="6">
        <v>4.8454943655496512E-2</v>
      </c>
      <c r="AB93" s="6">
        <v>0.25211817386886121</v>
      </c>
      <c r="AC93" s="6">
        <v>0</v>
      </c>
      <c r="AD93" s="6">
        <v>0</v>
      </c>
      <c r="AE93" s="6">
        <v>0</v>
      </c>
      <c r="AF93" s="6">
        <v>0</v>
      </c>
      <c r="AG93" s="8">
        <f t="shared" si="49"/>
        <v>1</v>
      </c>
      <c r="AH93" t="b">
        <f t="shared" si="50"/>
        <v>1</v>
      </c>
      <c r="AI93" s="97">
        <v>220.41130997006761</v>
      </c>
    </row>
    <row r="94" spans="2:35" x14ac:dyDescent="0.25">
      <c r="B94" s="120" t="s">
        <v>326</v>
      </c>
      <c r="G94" s="206"/>
      <c r="H94" s="122"/>
      <c r="I94" s="123"/>
      <c r="K94" s="212"/>
      <c r="L94" s="212"/>
      <c r="M94" s="170"/>
      <c r="N94" s="170"/>
      <c r="O94" s="170"/>
      <c r="P94" s="206"/>
      <c r="R94" s="127"/>
      <c r="S94" s="127"/>
      <c r="T94" s="127"/>
      <c r="U94" s="127"/>
      <c r="V94" s="127"/>
      <c r="W94" s="127"/>
      <c r="X94" s="127"/>
      <c r="Y94" s="77">
        <f t="shared" si="48"/>
        <v>0</v>
      </c>
    </row>
    <row r="95" spans="2:35" x14ac:dyDescent="0.25">
      <c r="B95" s="84"/>
      <c r="C95" t="s">
        <v>327</v>
      </c>
      <c r="D95" t="str">
        <f>Unit_Rates!G157</f>
        <v>Distribution system assets</v>
      </c>
      <c r="E95" t="str">
        <f>Unit_Rates!H157</f>
        <v>Augmentation</v>
      </c>
      <c r="F95" t="str">
        <f>D95&amp;E95</f>
        <v>Distribution system assetsAugmentation</v>
      </c>
      <c r="G95" s="206">
        <f>Unit_Rates!I157</f>
        <v>0</v>
      </c>
      <c r="H95" s="213">
        <v>0</v>
      </c>
      <c r="I95" s="123" t="s">
        <v>294</v>
      </c>
      <c r="K95" s="212">
        <f>G95*H95</f>
        <v>0</v>
      </c>
      <c r="L95" s="212">
        <f>SUMPRODUCT(R$5:X$5,R95:X95)/Thousands</f>
        <v>0</v>
      </c>
      <c r="M95" s="170">
        <f>$H95*Unit_Rates!K157</f>
        <v>0</v>
      </c>
      <c r="N95" s="170">
        <f>$H95*Unit_Rates!L157</f>
        <v>0</v>
      </c>
      <c r="O95" s="170">
        <f>$H95*Unit_Rates!M157</f>
        <v>0</v>
      </c>
      <c r="P95" s="206">
        <f>SUM(K95:O95)</f>
        <v>0</v>
      </c>
      <c r="Q95" s="152">
        <f>P95-H95*Unit_Rates!$E$157</f>
        <v>0</v>
      </c>
      <c r="R95" s="207">
        <f t="shared" ref="R95:X98" si="51">$AI95*Z95*$H95</f>
        <v>0</v>
      </c>
      <c r="S95" s="207">
        <f t="shared" si="51"/>
        <v>0</v>
      </c>
      <c r="T95" s="207">
        <f t="shared" si="51"/>
        <v>0</v>
      </c>
      <c r="U95" s="207">
        <f t="shared" si="51"/>
        <v>0</v>
      </c>
      <c r="V95" s="207">
        <f t="shared" si="51"/>
        <v>0</v>
      </c>
      <c r="W95" s="207">
        <f t="shared" si="51"/>
        <v>0</v>
      </c>
      <c r="X95" s="207">
        <f t="shared" si="51"/>
        <v>0</v>
      </c>
      <c r="Y95" s="77">
        <f t="shared" si="48"/>
        <v>0</v>
      </c>
      <c r="Z95" s="6">
        <v>0.18112413889844414</v>
      </c>
      <c r="AA95" s="6">
        <v>0.21477521965386426</v>
      </c>
      <c r="AB95" s="6">
        <v>0.6041006414476916</v>
      </c>
      <c r="AC95" s="6">
        <v>0</v>
      </c>
      <c r="AD95" s="6">
        <v>0</v>
      </c>
      <c r="AE95" s="6">
        <v>0</v>
      </c>
      <c r="AF95" s="6">
        <v>0</v>
      </c>
      <c r="AG95" s="8">
        <f t="shared" ref="AG95:AG98" si="52">SUM(Z95:AF95)</f>
        <v>1</v>
      </c>
      <c r="AH95" t="b">
        <f t="shared" si="50"/>
        <v>1</v>
      </c>
      <c r="AI95" s="97">
        <v>469.77670058953754</v>
      </c>
    </row>
    <row r="96" spans="2:35" x14ac:dyDescent="0.25">
      <c r="B96" s="84"/>
      <c r="C96" t="s">
        <v>328</v>
      </c>
      <c r="D96" t="str">
        <f>Unit_Rates!G158</f>
        <v>Distribution system assets</v>
      </c>
      <c r="E96" t="str">
        <f>Unit_Rates!H158</f>
        <v>Augmentation</v>
      </c>
      <c r="F96" t="str">
        <f t="shared" ref="F96:F98" si="53">D96&amp;E96</f>
        <v>Distribution system assetsAugmentation</v>
      </c>
      <c r="G96" s="206">
        <f>Unit_Rates!I158</f>
        <v>0</v>
      </c>
      <c r="H96" s="213">
        <v>0</v>
      </c>
      <c r="I96" s="123" t="s">
        <v>294</v>
      </c>
      <c r="K96" s="212">
        <f t="shared" ref="K96:K98" si="54">G96*H96</f>
        <v>0</v>
      </c>
      <c r="L96" s="212">
        <f>SUMPRODUCT(R$5:X$5,R96:X96)/Thousands</f>
        <v>0</v>
      </c>
      <c r="M96" s="170">
        <f>$H96*Unit_Rates!K158</f>
        <v>0</v>
      </c>
      <c r="N96" s="170">
        <f>$H96*Unit_Rates!L158</f>
        <v>0</v>
      </c>
      <c r="O96" s="170">
        <f>$H96*Unit_Rates!M158</f>
        <v>0</v>
      </c>
      <c r="P96" s="206">
        <f t="shared" ref="P96:P98" si="55">SUM(K96:O96)</f>
        <v>0</v>
      </c>
      <c r="Q96" s="152">
        <f>P96-H96*Unit_Rates!$E$157</f>
        <v>0</v>
      </c>
      <c r="R96" s="207">
        <f t="shared" si="51"/>
        <v>0</v>
      </c>
      <c r="S96" s="207">
        <f t="shared" si="51"/>
        <v>0</v>
      </c>
      <c r="T96" s="207">
        <f t="shared" si="51"/>
        <v>0</v>
      </c>
      <c r="U96" s="207">
        <f t="shared" si="51"/>
        <v>0</v>
      </c>
      <c r="V96" s="207">
        <f t="shared" si="51"/>
        <v>0</v>
      </c>
      <c r="W96" s="207">
        <f t="shared" si="51"/>
        <v>0</v>
      </c>
      <c r="X96" s="207">
        <f t="shared" si="51"/>
        <v>0</v>
      </c>
      <c r="Y96" s="77">
        <f t="shared" si="48"/>
        <v>0</v>
      </c>
      <c r="Z96" s="6">
        <v>0.18112413889844414</v>
      </c>
      <c r="AA96" s="6">
        <v>0.42955043930772852</v>
      </c>
      <c r="AB96" s="6">
        <v>0.3893254217938274</v>
      </c>
      <c r="AC96" s="6">
        <v>0</v>
      </c>
      <c r="AD96" s="6">
        <v>0</v>
      </c>
      <c r="AE96" s="6">
        <v>0</v>
      </c>
      <c r="AF96" s="6">
        <v>0</v>
      </c>
      <c r="AG96" s="8">
        <f t="shared" si="52"/>
        <v>1</v>
      </c>
      <c r="AH96" t="b">
        <f t="shared" si="50"/>
        <v>1</v>
      </c>
      <c r="AI96" s="97">
        <v>500.15046310508262</v>
      </c>
    </row>
    <row r="97" spans="2:35" x14ac:dyDescent="0.25">
      <c r="B97" s="84"/>
      <c r="C97" t="s">
        <v>329</v>
      </c>
      <c r="D97" t="str">
        <f>Unit_Rates!G159</f>
        <v>Distribution system assets</v>
      </c>
      <c r="E97" t="str">
        <f>Unit_Rates!H159</f>
        <v>Augmentation</v>
      </c>
      <c r="F97" t="str">
        <f t="shared" si="53"/>
        <v>Distribution system assetsAugmentation</v>
      </c>
      <c r="G97" s="206">
        <f>Unit_Rates!I159</f>
        <v>0</v>
      </c>
      <c r="H97" s="213">
        <v>0</v>
      </c>
      <c r="I97" s="123" t="s">
        <v>294</v>
      </c>
      <c r="K97" s="212">
        <f t="shared" si="54"/>
        <v>0</v>
      </c>
      <c r="L97" s="212">
        <f>SUMPRODUCT(R$5:X$5,R97:X97)/Thousands</f>
        <v>0</v>
      </c>
      <c r="M97" s="170">
        <f>$H97*Unit_Rates!K159</f>
        <v>0</v>
      </c>
      <c r="N97" s="170">
        <f>$H97*Unit_Rates!L159</f>
        <v>0</v>
      </c>
      <c r="O97" s="170">
        <f>$H97*Unit_Rates!M159</f>
        <v>0</v>
      </c>
      <c r="P97" s="206">
        <f t="shared" si="55"/>
        <v>0</v>
      </c>
      <c r="Q97" s="152">
        <f>P97-H97*Unit_Rates!$E$157</f>
        <v>0</v>
      </c>
      <c r="R97" s="207">
        <f t="shared" si="51"/>
        <v>0</v>
      </c>
      <c r="S97" s="207">
        <f t="shared" si="51"/>
        <v>0</v>
      </c>
      <c r="T97" s="207">
        <f t="shared" si="51"/>
        <v>0</v>
      </c>
      <c r="U97" s="207">
        <f t="shared" si="51"/>
        <v>0</v>
      </c>
      <c r="V97" s="207">
        <f t="shared" si="51"/>
        <v>0</v>
      </c>
      <c r="W97" s="207">
        <f t="shared" si="51"/>
        <v>0</v>
      </c>
      <c r="X97" s="207">
        <f t="shared" si="51"/>
        <v>0</v>
      </c>
      <c r="Y97" s="77">
        <f t="shared" si="48"/>
        <v>0</v>
      </c>
      <c r="Z97" s="6">
        <v>0.18112413889844414</v>
      </c>
      <c r="AA97" s="6">
        <v>0.42955043930772852</v>
      </c>
      <c r="AB97" s="6">
        <v>0.3893254217938274</v>
      </c>
      <c r="AC97" s="6">
        <v>0</v>
      </c>
      <c r="AD97" s="6">
        <v>0</v>
      </c>
      <c r="AE97" s="6">
        <v>0</v>
      </c>
      <c r="AF97" s="6">
        <v>0</v>
      </c>
      <c r="AG97" s="8">
        <f t="shared" si="52"/>
        <v>1</v>
      </c>
      <c r="AH97" t="b">
        <f t="shared" si="50"/>
        <v>1</v>
      </c>
      <c r="AI97" s="97">
        <v>416.11120533381393</v>
      </c>
    </row>
    <row r="98" spans="2:35" x14ac:dyDescent="0.25">
      <c r="B98" s="84"/>
      <c r="C98" t="s">
        <v>260</v>
      </c>
      <c r="D98" t="str">
        <f>Unit_Rates!G160</f>
        <v>Distribution system assets</v>
      </c>
      <c r="E98" t="str">
        <f>Unit_Rates!H160</f>
        <v>Replacement</v>
      </c>
      <c r="F98" t="str">
        <f t="shared" si="53"/>
        <v>Distribution system assetsReplacement</v>
      </c>
      <c r="G98" s="206">
        <f>Unit_Rates!I160</f>
        <v>32.740161372023131</v>
      </c>
      <c r="H98" s="213">
        <v>0</v>
      </c>
      <c r="I98" s="123" t="s">
        <v>294</v>
      </c>
      <c r="K98" s="212">
        <f t="shared" si="54"/>
        <v>0</v>
      </c>
      <c r="L98" s="212">
        <f>SUMPRODUCT(R$5:X$5,R98:X98)/Thousands</f>
        <v>0</v>
      </c>
      <c r="M98" s="170">
        <f>$H98*Unit_Rates!K160</f>
        <v>0</v>
      </c>
      <c r="N98" s="170">
        <f>$H98*Unit_Rates!L160</f>
        <v>0</v>
      </c>
      <c r="O98" s="170">
        <f>$H98*Unit_Rates!M160</f>
        <v>0</v>
      </c>
      <c r="P98" s="206">
        <f t="shared" si="55"/>
        <v>0</v>
      </c>
      <c r="Q98" s="208">
        <f>P98-H98*Unit_Rates!$E$160</f>
        <v>0</v>
      </c>
      <c r="R98" s="207">
        <f t="shared" si="51"/>
        <v>0</v>
      </c>
      <c r="S98" s="207">
        <f t="shared" si="51"/>
        <v>0</v>
      </c>
      <c r="T98" s="207">
        <f t="shared" si="51"/>
        <v>0</v>
      </c>
      <c r="U98" s="207">
        <f t="shared" si="51"/>
        <v>0</v>
      </c>
      <c r="V98" s="207">
        <f t="shared" si="51"/>
        <v>0</v>
      </c>
      <c r="W98" s="207">
        <f t="shared" si="51"/>
        <v>0</v>
      </c>
      <c r="X98" s="207">
        <f t="shared" si="51"/>
        <v>0</v>
      </c>
      <c r="Y98" s="77">
        <f t="shared" si="48"/>
        <v>0</v>
      </c>
      <c r="Z98" s="6">
        <v>0.30314923274650013</v>
      </c>
      <c r="AA98" s="6">
        <v>0.32449777026385929</v>
      </c>
      <c r="AB98" s="6">
        <v>0.37235299698964064</v>
      </c>
      <c r="AC98" s="6">
        <v>0</v>
      </c>
      <c r="AD98" s="6">
        <v>0</v>
      </c>
      <c r="AE98" s="6">
        <v>0</v>
      </c>
      <c r="AF98" s="6">
        <v>0</v>
      </c>
      <c r="AG98" s="8">
        <f t="shared" si="52"/>
        <v>1</v>
      </c>
      <c r="AH98" t="b">
        <f t="shared" si="50"/>
        <v>1</v>
      </c>
      <c r="AI98" s="97">
        <v>61.06</v>
      </c>
    </row>
    <row r="99" spans="2:35" x14ac:dyDescent="0.25">
      <c r="B99" s="84"/>
      <c r="G99" s="169"/>
      <c r="H99" s="84"/>
      <c r="I99" s="167"/>
      <c r="K99" s="203"/>
      <c r="L99" s="203"/>
      <c r="M99" s="204"/>
      <c r="N99" s="204"/>
      <c r="O99" s="204"/>
      <c r="P99" s="169"/>
    </row>
    <row r="100" spans="2:35" x14ac:dyDescent="0.25">
      <c r="B100" s="120" t="s">
        <v>330</v>
      </c>
      <c r="G100" s="169"/>
      <c r="H100" s="84"/>
      <c r="I100" s="167"/>
      <c r="K100" s="193">
        <f>SUM(K82:K98)</f>
        <v>0</v>
      </c>
      <c r="L100" s="193">
        <f t="shared" ref="L100:P100" si="56">SUM(L82:L98)</f>
        <v>0</v>
      </c>
      <c r="M100" s="194">
        <f t="shared" si="56"/>
        <v>0</v>
      </c>
      <c r="N100" s="194">
        <f t="shared" si="56"/>
        <v>0</v>
      </c>
      <c r="O100" s="194">
        <f t="shared" si="56"/>
        <v>0</v>
      </c>
      <c r="P100" s="194">
        <f t="shared" si="56"/>
        <v>0</v>
      </c>
    </row>
    <row r="101" spans="2:35" x14ac:dyDescent="0.25">
      <c r="B101" s="195" t="s">
        <v>307</v>
      </c>
      <c r="C101" s="102"/>
      <c r="D101" s="102"/>
      <c r="E101" s="102"/>
      <c r="F101" s="102"/>
      <c r="G101" s="264"/>
      <c r="H101" s="102"/>
      <c r="I101" s="102"/>
      <c r="J101" s="102"/>
      <c r="K101" s="217"/>
      <c r="L101" s="217"/>
      <c r="M101" s="217"/>
      <c r="N101" s="217"/>
      <c r="O101" s="217"/>
      <c r="P101" s="218"/>
      <c r="Q101" s="163"/>
    </row>
    <row r="102" spans="2:35" x14ac:dyDescent="0.25">
      <c r="B102" s="84"/>
      <c r="K102" s="165"/>
      <c r="L102" s="165"/>
      <c r="M102" s="219"/>
      <c r="N102" s="219"/>
      <c r="O102" s="219"/>
      <c r="P102" s="220"/>
      <c r="Y102" s="108"/>
      <c r="Z102" s="183"/>
      <c r="AA102" s="183"/>
      <c r="AB102" s="183"/>
      <c r="AI102" s="183"/>
    </row>
    <row r="103" spans="2:35" x14ac:dyDescent="0.25">
      <c r="B103" s="120" t="s">
        <v>33</v>
      </c>
      <c r="C103" s="3"/>
      <c r="D103" s="3"/>
      <c r="E103" s="3"/>
      <c r="F103" s="3"/>
      <c r="G103" s="25"/>
      <c r="H103" s="3"/>
      <c r="I103" s="3"/>
      <c r="J103" s="3"/>
      <c r="K103" s="221">
        <f>K67+K100</f>
        <v>2349.8370197158297</v>
      </c>
      <c r="L103" s="221">
        <f>L67+L100</f>
        <v>556.73738824693078</v>
      </c>
      <c r="M103" s="222">
        <f t="shared" ref="M103:N103" si="57">M67+M100</f>
        <v>550</v>
      </c>
      <c r="N103" s="222">
        <f t="shared" si="57"/>
        <v>2000.0104991114135</v>
      </c>
      <c r="O103" s="222">
        <f>O67+O100</f>
        <v>65.492483340100534</v>
      </c>
      <c r="P103" s="223">
        <f>P67+P100</f>
        <v>5522.0773904142752</v>
      </c>
    </row>
    <row r="104" spans="2:35" x14ac:dyDescent="0.25">
      <c r="B104" s="224" t="s">
        <v>307</v>
      </c>
      <c r="C104" s="225"/>
      <c r="D104" s="225"/>
      <c r="E104" s="225"/>
      <c r="F104" s="225"/>
      <c r="G104" s="265"/>
      <c r="H104" s="225"/>
      <c r="I104" s="225"/>
      <c r="J104" s="225"/>
      <c r="K104" s="266"/>
      <c r="L104" s="266"/>
      <c r="M104" s="267"/>
      <c r="N104" s="267"/>
      <c r="O104" s="267"/>
      <c r="P104" s="268"/>
      <c r="AB104" s="183"/>
    </row>
    <row r="106" spans="2:35" x14ac:dyDescent="0.25">
      <c r="S106" s="269"/>
      <c r="T106" s="269"/>
      <c r="U106" s="269"/>
      <c r="V106" s="269"/>
    </row>
    <row r="107" spans="2:35" outlineLevel="1" x14ac:dyDescent="0.25">
      <c r="C107" t="s">
        <v>293</v>
      </c>
      <c r="D107" t="s">
        <v>3</v>
      </c>
      <c r="E107" t="s">
        <v>27</v>
      </c>
      <c r="F107" t="str">
        <f t="shared" ref="F107:F127" si="58">D107&amp;E107</f>
        <v>SubtransmissionAugmentation</v>
      </c>
      <c r="K107" s="4">
        <v>910.80021632299997</v>
      </c>
      <c r="L107" s="4">
        <v>0</v>
      </c>
      <c r="M107" s="229">
        <v>0</v>
      </c>
      <c r="N107" s="229">
        <v>1702.3387559294567</v>
      </c>
      <c r="O107" s="229">
        <v>63.558920968688852</v>
      </c>
      <c r="P107" s="229">
        <v>2676.6978932211455</v>
      </c>
      <c r="S107" s="269"/>
      <c r="T107" s="269"/>
      <c r="U107" s="269"/>
      <c r="V107" s="269"/>
    </row>
    <row r="108" spans="2:35" outlineLevel="1" x14ac:dyDescent="0.25">
      <c r="D108" t="s">
        <v>3</v>
      </c>
      <c r="E108" t="s">
        <v>28</v>
      </c>
      <c r="F108" t="str">
        <f t="shared" si="58"/>
        <v>SubtransmissionReplacement</v>
      </c>
      <c r="K108" s="4">
        <v>0</v>
      </c>
      <c r="L108" s="4">
        <v>0</v>
      </c>
      <c r="M108" s="229">
        <v>0</v>
      </c>
      <c r="N108" s="229">
        <v>0</v>
      </c>
      <c r="O108" s="229">
        <v>0</v>
      </c>
      <c r="P108" s="229">
        <v>0</v>
      </c>
      <c r="S108" s="269"/>
      <c r="T108" s="269"/>
      <c r="U108" s="269"/>
      <c r="V108" s="269"/>
    </row>
    <row r="109" spans="2:35" outlineLevel="1" x14ac:dyDescent="0.25">
      <c r="D109" t="s">
        <v>2</v>
      </c>
      <c r="E109" t="s">
        <v>27</v>
      </c>
      <c r="F109" t="str">
        <f t="shared" si="58"/>
        <v>SCADA/Network controlAugmentation</v>
      </c>
      <c r="K109" s="4">
        <v>1439.0368033928303</v>
      </c>
      <c r="L109" s="4">
        <v>0</v>
      </c>
      <c r="M109" s="229">
        <v>0</v>
      </c>
      <c r="N109" s="229">
        <v>297.67174318195697</v>
      </c>
      <c r="O109" s="229">
        <v>1.9335623714116765</v>
      </c>
      <c r="P109" s="229">
        <v>1738.642108946199</v>
      </c>
      <c r="S109" s="269"/>
      <c r="T109" s="269"/>
      <c r="U109" s="269"/>
      <c r="V109" s="269"/>
    </row>
    <row r="110" spans="2:35" outlineLevel="1" x14ac:dyDescent="0.25">
      <c r="D110" t="s">
        <v>2</v>
      </c>
      <c r="E110" t="s">
        <v>28</v>
      </c>
      <c r="F110" t="str">
        <f t="shared" si="58"/>
        <v>SCADA/Network controlReplacement</v>
      </c>
      <c r="K110" s="4">
        <v>0</v>
      </c>
      <c r="L110" s="4">
        <v>0</v>
      </c>
      <c r="M110" s="229">
        <v>0</v>
      </c>
      <c r="N110" s="229">
        <v>0</v>
      </c>
      <c r="O110" s="229">
        <v>0</v>
      </c>
      <c r="P110" s="229">
        <v>0</v>
      </c>
    </row>
    <row r="111" spans="2:35" outlineLevel="1" x14ac:dyDescent="0.25">
      <c r="D111" t="s">
        <v>4</v>
      </c>
      <c r="E111" t="s">
        <v>29</v>
      </c>
      <c r="F111" t="str">
        <f t="shared" si="58"/>
        <v>LandNon-Network</v>
      </c>
      <c r="K111" s="230">
        <v>0</v>
      </c>
      <c r="L111" s="230">
        <v>0</v>
      </c>
      <c r="M111" s="231">
        <v>0</v>
      </c>
      <c r="N111" s="231">
        <v>0</v>
      </c>
      <c r="O111" s="231">
        <v>0</v>
      </c>
      <c r="P111" s="231">
        <v>0</v>
      </c>
    </row>
    <row r="112" spans="2:35" outlineLevel="1" x14ac:dyDescent="0.25">
      <c r="K112" s="4">
        <v>2349.8370197158301</v>
      </c>
      <c r="L112" s="4">
        <v>0</v>
      </c>
      <c r="M112" s="229">
        <v>0</v>
      </c>
      <c r="N112" s="229">
        <v>2000.0104991114138</v>
      </c>
      <c r="O112" s="229">
        <v>65.492483340100534</v>
      </c>
      <c r="P112" s="229">
        <v>4415.3400021673442</v>
      </c>
    </row>
    <row r="113" spans="3:16" outlineLevel="1" x14ac:dyDescent="0.25">
      <c r="C113" t="s">
        <v>331</v>
      </c>
      <c r="D113" t="s">
        <v>3</v>
      </c>
      <c r="E113" t="s">
        <v>27</v>
      </c>
      <c r="F113" t="str">
        <f t="shared" ref="F113:F117" si="59">D113&amp;E113</f>
        <v>SubtransmissionAugmentation</v>
      </c>
      <c r="K113" s="4"/>
      <c r="L113" s="4">
        <v>337.50918241098168</v>
      </c>
      <c r="M113" s="229">
        <v>333.42479640276485</v>
      </c>
      <c r="N113" s="229">
        <v>0</v>
      </c>
      <c r="O113" s="229"/>
      <c r="P113" s="229">
        <v>670.93397881374653</v>
      </c>
    </row>
    <row r="114" spans="3:16" outlineLevel="1" x14ac:dyDescent="0.25">
      <c r="D114" t="s">
        <v>3</v>
      </c>
      <c r="E114" t="s">
        <v>28</v>
      </c>
      <c r="F114" t="str">
        <f t="shared" si="59"/>
        <v>SubtransmissionReplacement</v>
      </c>
      <c r="K114" s="4"/>
      <c r="L114" s="4">
        <v>0</v>
      </c>
      <c r="M114" s="229">
        <v>0</v>
      </c>
      <c r="N114" s="229">
        <v>0</v>
      </c>
      <c r="O114" s="229"/>
      <c r="P114" s="229">
        <v>0</v>
      </c>
    </row>
    <row r="115" spans="3:16" outlineLevel="1" x14ac:dyDescent="0.25">
      <c r="D115" t="s">
        <v>2</v>
      </c>
      <c r="E115" t="s">
        <v>27</v>
      </c>
      <c r="F115" t="str">
        <f t="shared" si="59"/>
        <v>SCADA/Network controlAugmentation</v>
      </c>
      <c r="K115" s="4"/>
      <c r="L115" s="4">
        <v>219.22820583594913</v>
      </c>
      <c r="M115" s="229">
        <v>216.5752035972352</v>
      </c>
      <c r="N115" s="229">
        <v>0</v>
      </c>
      <c r="O115" s="229"/>
      <c r="P115" s="229">
        <v>435.80340943318436</v>
      </c>
    </row>
    <row r="116" spans="3:16" outlineLevel="1" x14ac:dyDescent="0.25">
      <c r="D116" t="s">
        <v>2</v>
      </c>
      <c r="E116" t="s">
        <v>28</v>
      </c>
      <c r="F116" t="str">
        <f t="shared" si="59"/>
        <v>SCADA/Network controlReplacement</v>
      </c>
      <c r="K116" s="4"/>
      <c r="L116" s="4">
        <v>0</v>
      </c>
      <c r="M116" s="229">
        <v>0</v>
      </c>
      <c r="N116" s="229">
        <v>0</v>
      </c>
      <c r="O116" s="229"/>
      <c r="P116" s="229">
        <v>0</v>
      </c>
    </row>
    <row r="117" spans="3:16" outlineLevel="1" x14ac:dyDescent="0.25">
      <c r="D117" t="s">
        <v>4</v>
      </c>
      <c r="E117" t="s">
        <v>29</v>
      </c>
      <c r="F117" t="str">
        <f t="shared" si="59"/>
        <v>LandNon-Network</v>
      </c>
      <c r="K117" s="230"/>
      <c r="L117" s="230">
        <v>0</v>
      </c>
      <c r="M117" s="231">
        <v>0</v>
      </c>
      <c r="N117" s="231">
        <v>0</v>
      </c>
      <c r="O117" s="231"/>
      <c r="P117" s="231">
        <v>0</v>
      </c>
    </row>
    <row r="118" spans="3:16" outlineLevel="1" x14ac:dyDescent="0.25">
      <c r="K118" s="4">
        <v>0</v>
      </c>
      <c r="L118" s="4">
        <v>556.73738824693078</v>
      </c>
      <c r="M118" s="229">
        <v>550</v>
      </c>
      <c r="N118" s="229">
        <v>0</v>
      </c>
      <c r="O118" s="229">
        <v>0</v>
      </c>
      <c r="P118" s="229">
        <v>1106.737388246931</v>
      </c>
    </row>
    <row r="119" spans="3:16" outlineLevel="1" x14ac:dyDescent="0.25">
      <c r="C119" t="s">
        <v>332</v>
      </c>
      <c r="D119" t="s">
        <v>3</v>
      </c>
      <c r="E119" t="s">
        <v>27</v>
      </c>
      <c r="F119" t="str">
        <f t="shared" ref="F119:F123" si="60">D119&amp;E119</f>
        <v>SubtransmissionAugmentation</v>
      </c>
      <c r="K119" s="4">
        <v>910.80021632299997</v>
      </c>
      <c r="L119" s="4">
        <v>337.50918241098168</v>
      </c>
      <c r="M119" s="229">
        <v>333.42479640276485</v>
      </c>
      <c r="N119" s="229">
        <v>1702.3387559294567</v>
      </c>
      <c r="O119" s="229">
        <v>63.558920968688852</v>
      </c>
      <c r="P119" s="233">
        <v>3347.6318720348918</v>
      </c>
    </row>
    <row r="120" spans="3:16" outlineLevel="1" x14ac:dyDescent="0.25">
      <c r="D120" t="s">
        <v>3</v>
      </c>
      <c r="E120" t="s">
        <v>28</v>
      </c>
      <c r="F120" t="str">
        <f t="shared" si="60"/>
        <v>SubtransmissionReplacement</v>
      </c>
      <c r="K120" s="4">
        <v>0</v>
      </c>
      <c r="L120" s="4">
        <v>0</v>
      </c>
      <c r="M120" s="229">
        <v>0</v>
      </c>
      <c r="N120" s="229">
        <v>0</v>
      </c>
      <c r="O120" s="229">
        <v>0</v>
      </c>
      <c r="P120" s="233">
        <v>0</v>
      </c>
    </row>
    <row r="121" spans="3:16" outlineLevel="1" x14ac:dyDescent="0.25">
      <c r="D121" t="s">
        <v>2</v>
      </c>
      <c r="E121" t="s">
        <v>27</v>
      </c>
      <c r="F121" t="str">
        <f t="shared" si="60"/>
        <v>SCADA/Network controlAugmentation</v>
      </c>
      <c r="K121" s="4">
        <v>1439.0368033928303</v>
      </c>
      <c r="L121" s="4">
        <v>219.22820583594913</v>
      </c>
      <c r="M121" s="229">
        <v>216.5752035972352</v>
      </c>
      <c r="N121" s="229">
        <v>297.67174318195697</v>
      </c>
      <c r="O121" s="229">
        <v>1.9335623714116765</v>
      </c>
      <c r="P121" s="229">
        <v>2174.4455183793834</v>
      </c>
    </row>
    <row r="122" spans="3:16" outlineLevel="1" x14ac:dyDescent="0.25">
      <c r="D122" t="s">
        <v>2</v>
      </c>
      <c r="E122" t="s">
        <v>28</v>
      </c>
      <c r="F122" t="str">
        <f t="shared" si="60"/>
        <v>SCADA/Network controlReplacement</v>
      </c>
      <c r="K122" s="4">
        <v>0</v>
      </c>
      <c r="L122" s="4">
        <v>0</v>
      </c>
      <c r="M122" s="229">
        <v>0</v>
      </c>
      <c r="N122" s="229">
        <v>0</v>
      </c>
      <c r="O122" s="229">
        <v>0</v>
      </c>
      <c r="P122" s="229">
        <v>0</v>
      </c>
    </row>
    <row r="123" spans="3:16" outlineLevel="1" x14ac:dyDescent="0.25">
      <c r="D123" t="s">
        <v>4</v>
      </c>
      <c r="E123" t="s">
        <v>29</v>
      </c>
      <c r="F123" t="str">
        <f t="shared" si="60"/>
        <v>LandNon-Network</v>
      </c>
      <c r="K123" s="230">
        <v>0</v>
      </c>
      <c r="L123" s="230">
        <v>0</v>
      </c>
      <c r="M123" s="231">
        <v>0</v>
      </c>
      <c r="N123" s="231">
        <v>0</v>
      </c>
      <c r="O123" s="231">
        <v>0</v>
      </c>
      <c r="P123" s="231">
        <v>0</v>
      </c>
    </row>
    <row r="124" spans="3:16" outlineLevel="1" x14ac:dyDescent="0.25">
      <c r="K124" s="4">
        <v>2349.8370197158301</v>
      </c>
      <c r="L124" s="4">
        <v>556.73738824693078</v>
      </c>
      <c r="M124" s="229">
        <v>550</v>
      </c>
      <c r="N124" s="229">
        <v>2000.0104991114138</v>
      </c>
      <c r="O124" s="229">
        <v>65.492483340100534</v>
      </c>
      <c r="P124" s="229">
        <v>5522.0773904142752</v>
      </c>
    </row>
    <row r="125" spans="3:16" outlineLevel="1" x14ac:dyDescent="0.25">
      <c r="K125" s="4">
        <v>0</v>
      </c>
      <c r="L125" s="4">
        <v>0</v>
      </c>
      <c r="M125" s="229">
        <v>0</v>
      </c>
      <c r="N125" s="229">
        <v>0</v>
      </c>
      <c r="O125" s="229">
        <v>0</v>
      </c>
      <c r="P125" s="229">
        <v>0</v>
      </c>
    </row>
    <row r="126" spans="3:16" outlineLevel="1" x14ac:dyDescent="0.25">
      <c r="C126" t="s">
        <v>310</v>
      </c>
      <c r="D126" t="s">
        <v>92</v>
      </c>
      <c r="E126" t="s">
        <v>27</v>
      </c>
      <c r="F126" t="str">
        <f t="shared" si="58"/>
        <v>Distribution system assetsAugmentation</v>
      </c>
      <c r="K126" s="4">
        <v>0</v>
      </c>
      <c r="L126" s="4">
        <v>0</v>
      </c>
      <c r="M126" s="229">
        <v>0</v>
      </c>
      <c r="N126" s="229">
        <v>0</v>
      </c>
      <c r="O126" s="229">
        <v>0</v>
      </c>
      <c r="P126" s="229">
        <v>0</v>
      </c>
    </row>
    <row r="127" spans="3:16" outlineLevel="1" x14ac:dyDescent="0.25">
      <c r="D127" t="s">
        <v>92</v>
      </c>
      <c r="E127" t="s">
        <v>28</v>
      </c>
      <c r="F127" t="str">
        <f t="shared" si="58"/>
        <v>Distribution system assetsReplacement</v>
      </c>
      <c r="K127" s="230">
        <v>0</v>
      </c>
      <c r="L127" s="230">
        <v>0</v>
      </c>
      <c r="M127" s="231">
        <v>0</v>
      </c>
      <c r="N127" s="231">
        <v>0</v>
      </c>
      <c r="O127" s="231">
        <v>0</v>
      </c>
      <c r="P127" s="231">
        <v>0</v>
      </c>
    </row>
    <row r="128" spans="3:16" outlineLevel="1" x14ac:dyDescent="0.25">
      <c r="K128" s="77">
        <v>0</v>
      </c>
      <c r="L128" s="77">
        <v>0</v>
      </c>
      <c r="M128" s="208">
        <v>0</v>
      </c>
      <c r="N128" s="208">
        <v>0</v>
      </c>
      <c r="O128" s="208">
        <v>0</v>
      </c>
      <c r="P128" s="208">
        <v>0</v>
      </c>
    </row>
    <row r="129" spans="11:16" outlineLevel="1" x14ac:dyDescent="0.25">
      <c r="K129" s="235">
        <f>K128-K82</f>
        <v>0</v>
      </c>
      <c r="L129" s="235">
        <f t="shared" ref="L129:P129" si="61">L128-L82</f>
        <v>0</v>
      </c>
      <c r="M129" s="152">
        <f t="shared" si="61"/>
        <v>0</v>
      </c>
      <c r="N129" s="152">
        <f t="shared" si="61"/>
        <v>0</v>
      </c>
      <c r="O129" s="152">
        <f t="shared" si="61"/>
        <v>0</v>
      </c>
      <c r="P129" s="152">
        <f t="shared" si="61"/>
        <v>0</v>
      </c>
    </row>
  </sheetData>
  <dataConsolidate/>
  <mergeCells count="3">
    <mergeCell ref="G3:I3"/>
    <mergeCell ref="K3:P3"/>
    <mergeCell ref="R3:X3"/>
  </mergeCells>
  <pageMargins left="0.25" right="0.25" top="0.75" bottom="0.75" header="0.3" footer="0.3"/>
  <pageSetup paperSize="9" scale="72" fitToHeight="0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B1:AK126"/>
  <sheetViews>
    <sheetView zoomScale="70" zoomScaleNormal="70" workbookViewId="0">
      <pane xSplit="3" ySplit="4" topLeftCell="E38" activePane="bottomRight" state="frozen"/>
      <selection activeCell="K4" sqref="K4:P4"/>
      <selection pane="topRight" activeCell="K4" sqref="K4:P4"/>
      <selection pane="bottomLeft" activeCell="K4" sqref="K4:P4"/>
      <selection pane="bottomRight" activeCell="N38" sqref="N38"/>
    </sheetView>
  </sheetViews>
  <sheetFormatPr defaultRowHeight="15" outlineLevelRow="1" outlineLevelCol="1" x14ac:dyDescent="0.25"/>
  <cols>
    <col min="1" max="1" width="2.28515625" customWidth="1"/>
    <col min="2" max="2" width="3" customWidth="1"/>
    <col min="3" max="3" width="52" customWidth="1"/>
    <col min="4" max="4" width="20" customWidth="1" outlineLevel="1"/>
    <col min="5" max="6" width="15.28515625" customWidth="1" outlineLevel="1"/>
    <col min="7" max="7" width="9.28515625" customWidth="1"/>
    <col min="8" max="8" width="8.7109375" customWidth="1"/>
    <col min="9" max="9" width="10.7109375" customWidth="1"/>
    <col min="10" max="10" width="2.28515625" customWidth="1"/>
    <col min="11" max="11" width="9.7109375" bestFit="1" customWidth="1"/>
    <col min="12" max="12" width="9.5703125" bestFit="1" customWidth="1"/>
    <col min="13" max="13" width="9.42578125" style="108" customWidth="1"/>
    <col min="14" max="14" width="12.28515625" style="108" customWidth="1"/>
    <col min="15" max="15" width="10.42578125" style="108" customWidth="1"/>
    <col min="16" max="16" width="12.140625" style="108" customWidth="1"/>
    <col min="17" max="17" width="9.7109375" style="108" customWidth="1"/>
    <col min="18" max="18" width="9" style="108" customWidth="1"/>
    <col min="19" max="19" width="9.7109375" style="108" customWidth="1"/>
    <col min="20" max="22" width="9" style="108" customWidth="1"/>
    <col min="23" max="23" width="8.85546875" style="108" customWidth="1"/>
    <col min="24" max="25" width="8.85546875" customWidth="1"/>
    <col min="26" max="35" width="8.85546875" customWidth="1" outlineLevel="1"/>
    <col min="36" max="36" width="8.85546875" customWidth="1"/>
  </cols>
  <sheetData>
    <row r="1" spans="2:33" x14ac:dyDescent="0.25">
      <c r="N1" s="452" t="s">
        <v>112</v>
      </c>
      <c r="O1"/>
    </row>
    <row r="2" spans="2:33" x14ac:dyDescent="0.25">
      <c r="B2" s="11" t="str">
        <f>STN_6&amp;" Volumes &amp; Unit Rates"</f>
        <v>KMS Volumes &amp; Unit Rates</v>
      </c>
    </row>
    <row r="3" spans="2:33" x14ac:dyDescent="0.25">
      <c r="B3" t="str">
        <f>STN_6</f>
        <v>KMS</v>
      </c>
      <c r="G3" s="462" t="s">
        <v>21</v>
      </c>
      <c r="H3" s="463"/>
      <c r="I3" s="464"/>
      <c r="K3" s="462" t="s">
        <v>276</v>
      </c>
      <c r="L3" s="463"/>
      <c r="M3" s="463"/>
      <c r="N3" s="463"/>
      <c r="O3" s="463"/>
      <c r="P3" s="464"/>
      <c r="R3" s="462" t="s">
        <v>277</v>
      </c>
      <c r="S3" s="463"/>
      <c r="T3" s="463"/>
      <c r="U3" s="463"/>
      <c r="V3" s="463"/>
      <c r="W3" s="463"/>
      <c r="X3" s="464"/>
    </row>
    <row r="4" spans="2:33" ht="45" customHeight="1" x14ac:dyDescent="0.25">
      <c r="D4" t="s">
        <v>5</v>
      </c>
      <c r="E4" t="s">
        <v>20</v>
      </c>
      <c r="G4" s="109" t="s">
        <v>278</v>
      </c>
      <c r="H4" s="110" t="s">
        <v>279</v>
      </c>
      <c r="I4" s="111" t="s">
        <v>280</v>
      </c>
      <c r="K4" s="111" t="s">
        <v>21</v>
      </c>
      <c r="L4" s="111" t="s">
        <v>22</v>
      </c>
      <c r="M4" s="109" t="s">
        <v>23</v>
      </c>
      <c r="N4" s="109" t="s">
        <v>24</v>
      </c>
      <c r="O4" s="112" t="s">
        <v>25</v>
      </c>
      <c r="P4" s="112" t="s">
        <v>26</v>
      </c>
      <c r="Q4" s="113" t="s">
        <v>281</v>
      </c>
      <c r="R4" s="114" t="s">
        <v>282</v>
      </c>
      <c r="S4" s="114" t="s">
        <v>82</v>
      </c>
      <c r="T4" s="114" t="s">
        <v>83</v>
      </c>
      <c r="U4" s="114" t="s">
        <v>84</v>
      </c>
      <c r="V4" s="114" t="s">
        <v>283</v>
      </c>
      <c r="W4" s="114" t="s">
        <v>85</v>
      </c>
      <c r="X4" s="115" t="s">
        <v>284</v>
      </c>
      <c r="Y4" s="115" t="s">
        <v>285</v>
      </c>
    </row>
    <row r="5" spans="2:33" x14ac:dyDescent="0.25">
      <c r="B5" s="116" t="s">
        <v>286</v>
      </c>
      <c r="C5" s="117"/>
      <c r="D5" s="117"/>
      <c r="E5" s="117"/>
      <c r="F5" s="117"/>
      <c r="G5" s="118"/>
      <c r="H5" s="110"/>
      <c r="I5" s="111"/>
      <c r="J5" s="117"/>
      <c r="K5" s="111"/>
      <c r="L5" s="111"/>
      <c r="M5" s="112"/>
      <c r="N5" s="109"/>
      <c r="O5" s="112"/>
      <c r="P5" s="112"/>
      <c r="R5" s="119">
        <f>Lab_Rates!$C$6*Escalators!C7*(1+Escalators!C17)*Escalators!$G$32</f>
        <v>162.48739067582716</v>
      </c>
      <c r="S5" s="119">
        <f>Lab_Rates!$C$7*Escalators!C7*(1+Escalators!C17)*Escalators!$G$32</f>
        <v>151.79743076294375</v>
      </c>
      <c r="T5" s="119">
        <f>Lab_Rates!$C$8*Escalators!C7*(1+Escalators!C17)*Escalators!$G$32</f>
        <v>176.38433856257552</v>
      </c>
      <c r="U5" s="119">
        <f>Lab_Rates!$C$9*Escalators!C7*(1+Escalators!C17)*Escalators!$G$32</f>
        <v>229.83413812699234</v>
      </c>
      <c r="V5" s="119">
        <f>Lab_Rates!$C$6*Escalators!C7*(1+Escalators!C17)*Escalators!$G$32</f>
        <v>162.48739067582716</v>
      </c>
      <c r="W5" s="119">
        <f>Lab_Rates!$C$10*Escalators!C7*(1+Escalators!C17)*Escalators!$G$32</f>
        <v>162.48739067582716</v>
      </c>
      <c r="X5" s="119">
        <f>Lab_Rates!$C$5*Escalators!C7*(1+Escalators!C17)*Escalators!$G$32</f>
        <v>133.62449891104205</v>
      </c>
    </row>
    <row r="6" spans="2:33" x14ac:dyDescent="0.25">
      <c r="B6" s="120"/>
      <c r="G6" s="121"/>
      <c r="H6" s="122"/>
      <c r="I6" s="123"/>
      <c r="K6" s="121"/>
      <c r="L6" s="121"/>
      <c r="M6" s="124"/>
      <c r="N6" s="125"/>
      <c r="O6" s="124"/>
      <c r="P6" s="126"/>
      <c r="R6" s="127"/>
      <c r="S6" s="127"/>
      <c r="T6" s="127"/>
      <c r="U6" s="127"/>
      <c r="V6" s="127"/>
      <c r="W6" s="127"/>
      <c r="X6" s="127"/>
    </row>
    <row r="7" spans="2:33" x14ac:dyDescent="0.25">
      <c r="B7" s="84" t="s">
        <v>343</v>
      </c>
      <c r="C7" s="23"/>
      <c r="D7" t="s">
        <v>1</v>
      </c>
      <c r="E7" t="s">
        <v>1</v>
      </c>
      <c r="G7" s="128"/>
      <c r="H7" s="129"/>
      <c r="I7" s="130"/>
      <c r="K7" s="131"/>
      <c r="L7" s="121">
        <f>SUMPRODUCT(R$5:X$5,R7:X7)/Thousands</f>
        <v>0</v>
      </c>
      <c r="M7" s="132">
        <v>300</v>
      </c>
      <c r="N7" s="132"/>
      <c r="O7" s="128"/>
      <c r="P7" s="126">
        <f t="shared" ref="P7" si="0">SUM(K7:O7)</f>
        <v>300</v>
      </c>
      <c r="Q7" s="277"/>
      <c r="R7" s="134"/>
      <c r="S7" s="135"/>
      <c r="T7" s="135"/>
      <c r="U7" s="135"/>
      <c r="V7" s="135"/>
      <c r="W7" s="135"/>
      <c r="X7" s="135"/>
    </row>
    <row r="8" spans="2:33" x14ac:dyDescent="0.25">
      <c r="B8" s="136"/>
      <c r="C8" s="325"/>
      <c r="D8" s="46"/>
      <c r="E8" s="46"/>
      <c r="F8" s="46"/>
      <c r="G8" s="137"/>
      <c r="H8" s="138"/>
      <c r="I8" s="139"/>
      <c r="K8" s="140"/>
      <c r="L8" s="140"/>
      <c r="M8" s="137"/>
      <c r="N8" s="141"/>
      <c r="O8" s="141"/>
      <c r="P8" s="142"/>
      <c r="Q8" s="133"/>
      <c r="R8" s="127"/>
      <c r="S8" s="127"/>
      <c r="T8" s="127"/>
      <c r="U8" s="127"/>
      <c r="V8" s="127"/>
      <c r="W8" s="127"/>
      <c r="X8" s="127"/>
    </row>
    <row r="9" spans="2:33" x14ac:dyDescent="0.25">
      <c r="B9" s="143" t="s">
        <v>288</v>
      </c>
      <c r="C9" s="324"/>
      <c r="D9" s="117"/>
      <c r="E9" s="117"/>
      <c r="F9" s="117"/>
      <c r="G9" s="144"/>
      <c r="H9" s="110"/>
      <c r="I9" s="111"/>
      <c r="K9" s="145"/>
      <c r="L9" s="145"/>
      <c r="M9" s="144"/>
      <c r="N9" s="146"/>
      <c r="O9" s="146"/>
      <c r="P9" s="147"/>
      <c r="R9" s="127"/>
      <c r="S9" s="127"/>
      <c r="T9" s="127"/>
      <c r="U9" s="127"/>
      <c r="V9" s="127"/>
      <c r="W9" s="127"/>
      <c r="X9" s="127"/>
    </row>
    <row r="10" spans="2:33" x14ac:dyDescent="0.25">
      <c r="B10" s="84"/>
      <c r="C10" s="23" t="s">
        <v>289</v>
      </c>
      <c r="D10" t="s">
        <v>1</v>
      </c>
      <c r="E10" t="s">
        <v>1</v>
      </c>
      <c r="G10" s="128"/>
      <c r="H10" s="129"/>
      <c r="I10" s="130"/>
      <c r="K10" s="148"/>
      <c r="L10" s="172">
        <f>SUMPRODUCT(R$5:X$5,R10:X10)/Thousands</f>
        <v>70.51952755330899</v>
      </c>
      <c r="M10" s="150"/>
      <c r="N10" s="150">
        <v>0</v>
      </c>
      <c r="O10" s="151"/>
      <c r="P10" s="126">
        <f>SUM(K10:O10)</f>
        <v>70.51952755330899</v>
      </c>
      <c r="Q10" s="152"/>
      <c r="R10" s="134">
        <v>302</v>
      </c>
      <c r="S10" s="134">
        <v>92</v>
      </c>
      <c r="T10" s="134">
        <v>32</v>
      </c>
      <c r="U10" s="134">
        <v>8</v>
      </c>
      <c r="V10" s="134"/>
      <c r="W10" s="134"/>
      <c r="X10" s="134"/>
      <c r="Y10" s="77">
        <f>SUM(R10:X10)</f>
        <v>434</v>
      </c>
      <c r="AA10" s="6"/>
      <c r="AB10" s="6"/>
      <c r="AC10" s="6"/>
      <c r="AD10" s="6"/>
      <c r="AE10" s="6"/>
      <c r="AF10" s="6"/>
      <c r="AG10" s="6"/>
    </row>
    <row r="11" spans="2:33" x14ac:dyDescent="0.25">
      <c r="B11" s="84"/>
      <c r="C11" s="23" t="s">
        <v>290</v>
      </c>
      <c r="D11" t="s">
        <v>1</v>
      </c>
      <c r="E11" t="s">
        <v>1</v>
      </c>
      <c r="G11" s="128"/>
      <c r="H11" s="129"/>
      <c r="I11" s="130"/>
      <c r="K11" s="148"/>
      <c r="L11" s="172">
        <f>SUMPRODUCT(R$5:X$5,R11:X11)/Thousands</f>
        <v>198.75521767226653</v>
      </c>
      <c r="M11" s="150"/>
      <c r="N11" s="132">
        <v>0</v>
      </c>
      <c r="O11" s="151"/>
      <c r="P11" s="126">
        <f>SUM(K11:O11)</f>
        <v>198.75521767226653</v>
      </c>
      <c r="Q11" s="133"/>
      <c r="R11" s="134">
        <v>96</v>
      </c>
      <c r="S11" s="134"/>
      <c r="T11" s="134">
        <v>296</v>
      </c>
      <c r="U11" s="134">
        <v>120</v>
      </c>
      <c r="V11" s="134">
        <v>213.5</v>
      </c>
      <c r="W11" s="134">
        <v>384</v>
      </c>
      <c r="X11" s="134">
        <v>47</v>
      </c>
      <c r="Y11" s="77">
        <f t="shared" ref="Y11:Y13" si="1">SUM(R11:X11)</f>
        <v>1156.5</v>
      </c>
      <c r="AA11" s="6"/>
      <c r="AB11" s="6"/>
      <c r="AC11" s="6"/>
      <c r="AD11" s="6"/>
      <c r="AE11" s="6"/>
      <c r="AF11" s="6"/>
      <c r="AG11" s="6"/>
    </row>
    <row r="12" spans="2:33" x14ac:dyDescent="0.25">
      <c r="B12" s="84"/>
      <c r="C12" s="23" t="s">
        <v>291</v>
      </c>
      <c r="D12" t="s">
        <v>1</v>
      </c>
      <c r="E12" t="s">
        <v>1</v>
      </c>
      <c r="G12" s="128"/>
      <c r="H12" s="129"/>
      <c r="I12" s="130"/>
      <c r="K12" s="148"/>
      <c r="L12" s="172">
        <f>SUMPRODUCT(R$5:X$5,R12:X12)/Thousands</f>
        <v>14.110747085006041</v>
      </c>
      <c r="M12" s="150"/>
      <c r="N12" s="150">
        <v>0</v>
      </c>
      <c r="O12" s="151"/>
      <c r="P12" s="126">
        <f>SUM(K12:O12)</f>
        <v>14.110747085006041</v>
      </c>
      <c r="Q12" s="152"/>
      <c r="R12" s="134"/>
      <c r="S12" s="134"/>
      <c r="T12" s="134">
        <v>80</v>
      </c>
      <c r="U12" s="134"/>
      <c r="V12" s="134"/>
      <c r="W12" s="134"/>
      <c r="X12" s="134"/>
      <c r="Y12" s="77">
        <f t="shared" si="1"/>
        <v>80</v>
      </c>
      <c r="AA12" s="6"/>
      <c r="AB12" s="6"/>
      <c r="AC12" s="6"/>
      <c r="AD12" s="6"/>
      <c r="AE12" s="6"/>
      <c r="AF12" s="6"/>
      <c r="AG12" s="6"/>
    </row>
    <row r="13" spans="2:33" x14ac:dyDescent="0.25">
      <c r="B13" s="84"/>
      <c r="C13" s="23" t="s">
        <v>292</v>
      </c>
      <c r="D13" t="s">
        <v>1</v>
      </c>
      <c r="E13" t="s">
        <v>1</v>
      </c>
      <c r="G13" s="128"/>
      <c r="H13" s="129"/>
      <c r="I13" s="130"/>
      <c r="K13" s="148"/>
      <c r="L13" s="149"/>
      <c r="M13" s="150"/>
      <c r="N13" s="150">
        <v>0</v>
      </c>
      <c r="O13" s="151"/>
      <c r="P13" s="126">
        <f>SUM(K13:O13)</f>
        <v>0</v>
      </c>
      <c r="Q13" s="133"/>
      <c r="R13" s="134"/>
      <c r="S13" s="134"/>
      <c r="T13" s="134"/>
      <c r="U13" s="134"/>
      <c r="V13" s="134"/>
      <c r="W13" s="134"/>
      <c r="X13" s="134"/>
      <c r="Y13" s="77">
        <f t="shared" si="1"/>
        <v>0</v>
      </c>
      <c r="AA13" s="6"/>
      <c r="AB13" s="6"/>
      <c r="AC13" s="6"/>
      <c r="AD13" s="6"/>
      <c r="AE13" s="6"/>
      <c r="AF13" s="6"/>
      <c r="AG13" s="6"/>
    </row>
    <row r="14" spans="2:33" x14ac:dyDescent="0.25">
      <c r="B14" s="136"/>
      <c r="C14" s="325"/>
      <c r="D14" s="46"/>
      <c r="E14" s="46"/>
      <c r="F14" s="46"/>
      <c r="G14" s="140"/>
      <c r="H14" s="138"/>
      <c r="I14" s="139"/>
      <c r="K14" s="154"/>
      <c r="L14" s="155"/>
      <c r="M14" s="155"/>
      <c r="N14" s="156"/>
      <c r="O14" s="155"/>
      <c r="P14" s="157"/>
      <c r="R14" s="127"/>
      <c r="S14" s="127"/>
      <c r="T14" s="127"/>
      <c r="U14" s="127"/>
      <c r="V14" s="127"/>
      <c r="W14" s="127"/>
      <c r="X14" s="127"/>
    </row>
    <row r="15" spans="2:33" x14ac:dyDescent="0.25">
      <c r="B15" s="143" t="s">
        <v>293</v>
      </c>
      <c r="C15" s="324"/>
      <c r="D15" s="117"/>
      <c r="E15" s="117"/>
      <c r="F15" s="117"/>
      <c r="G15" s="158"/>
      <c r="H15" s="116"/>
      <c r="I15" s="159"/>
      <c r="K15" s="160"/>
      <c r="L15" s="160"/>
      <c r="M15" s="161"/>
      <c r="N15" s="161"/>
      <c r="O15" s="161"/>
      <c r="P15" s="162"/>
      <c r="Q15" s="163"/>
      <c r="R15" s="164"/>
      <c r="S15" s="127"/>
      <c r="T15" s="127"/>
      <c r="U15" s="127"/>
      <c r="V15" s="127"/>
      <c r="W15" s="127"/>
      <c r="X15" s="127"/>
      <c r="AA15" s="5"/>
      <c r="AB15" s="5"/>
      <c r="AC15" s="5"/>
      <c r="AD15" s="5"/>
      <c r="AE15" s="5"/>
      <c r="AF15" s="5"/>
      <c r="AG15" s="5"/>
    </row>
    <row r="16" spans="2:33" x14ac:dyDescent="0.25">
      <c r="B16" s="120" t="s">
        <v>114</v>
      </c>
      <c r="C16" s="23"/>
      <c r="G16" s="166"/>
      <c r="H16" s="84"/>
      <c r="I16" s="167"/>
      <c r="J16" s="165"/>
      <c r="K16" s="149"/>
      <c r="L16" s="149"/>
      <c r="M16" s="168"/>
      <c r="N16" s="168"/>
      <c r="O16" s="168"/>
      <c r="P16" s="169"/>
      <c r="R16" s="127"/>
      <c r="S16" s="127"/>
      <c r="T16" s="127"/>
      <c r="U16" s="127"/>
      <c r="V16" s="127"/>
      <c r="W16" s="127"/>
      <c r="X16" s="127"/>
      <c r="AA16" s="5"/>
      <c r="AB16" s="5"/>
      <c r="AC16" s="5"/>
      <c r="AD16" s="5"/>
      <c r="AE16" s="5"/>
      <c r="AF16" s="5"/>
      <c r="AG16" s="5"/>
    </row>
    <row r="17" spans="2:33" x14ac:dyDescent="0.25">
      <c r="B17" s="84"/>
      <c r="C17" s="23" t="s">
        <v>122</v>
      </c>
      <c r="D17" t="str">
        <f>INDEX(Unit_Rates!$C$7:$K$113,MATCH($C17,Unit_Rates!$C$7:$C$113,0),5)</f>
        <v>Subtransmission</v>
      </c>
      <c r="E17" t="str">
        <f>INDEX(Unit_Rates!$C$7:$K$113,MATCH($C17,Unit_Rates!$C$7:$C$113,0),6)</f>
        <v>Augmentation</v>
      </c>
      <c r="F17" t="str">
        <f>D17&amp;E17</f>
        <v>SubtransmissionAugmentation</v>
      </c>
      <c r="G17" s="170">
        <f>INDEX(Unit_Rates!$C$7:$K$113,MATCH($C17,Unit_Rates!$C$7:$C$113,0),7)</f>
        <v>72.618999999999986</v>
      </c>
      <c r="H17" s="171"/>
      <c r="I17" s="123" t="s">
        <v>294</v>
      </c>
      <c r="J17" s="165"/>
      <c r="K17" s="172">
        <f>G17*$H17</f>
        <v>0</v>
      </c>
      <c r="L17" s="173">
        <f t="shared" ref="L17:L45" si="2">SUMPRODUCT(R$5:X$5,R17:X17)/Thousands</f>
        <v>0</v>
      </c>
      <c r="M17" s="174"/>
      <c r="N17" s="448"/>
      <c r="O17" s="448"/>
      <c r="P17" s="449"/>
      <c r="Q17" s="152">
        <f>P17-H17*VLOOKUP(C17,Unit_Rates!$C$7:$E$51,3,FALSE)</f>
        <v>0</v>
      </c>
      <c r="R17" s="134">
        <v>0</v>
      </c>
      <c r="S17" s="134">
        <v>0</v>
      </c>
      <c r="T17" s="134">
        <v>0</v>
      </c>
      <c r="U17" s="134">
        <v>0</v>
      </c>
      <c r="V17" s="134">
        <v>0</v>
      </c>
      <c r="W17" s="134">
        <v>0</v>
      </c>
      <c r="X17" s="134">
        <v>0</v>
      </c>
      <c r="Y17" s="77">
        <f t="shared" ref="Y17:Y44" si="3">SUM(R17:X17)</f>
        <v>0</v>
      </c>
      <c r="AA17" s="5"/>
      <c r="AB17" s="5"/>
      <c r="AC17" s="5"/>
      <c r="AD17" s="5"/>
      <c r="AE17" s="5"/>
      <c r="AF17" s="5"/>
      <c r="AG17" s="5"/>
    </row>
    <row r="18" spans="2:33" x14ac:dyDescent="0.25">
      <c r="B18" s="84"/>
      <c r="C18" s="23" t="s">
        <v>124</v>
      </c>
      <c r="D18" t="str">
        <f>INDEX(Unit_Rates!$C$7:$K$113,MATCH($C18,Unit_Rates!$C$7:$C$113,0),5)</f>
        <v>Subtransmission</v>
      </c>
      <c r="E18" t="str">
        <f>INDEX(Unit_Rates!$C$7:$K$113,MATCH($C18,Unit_Rates!$C$7:$C$113,0),6)</f>
        <v>Augmentation</v>
      </c>
      <c r="F18" t="str">
        <f t="shared" ref="F18:F45" si="4">D18&amp;E18</f>
        <v>SubtransmissionAugmentation</v>
      </c>
      <c r="G18" s="170">
        <f>INDEX(Unit_Rates!$C$7:$K$113,MATCH($C18,Unit_Rates!$C$7:$C$113,0),7)</f>
        <v>112.82799999999997</v>
      </c>
      <c r="H18" s="171"/>
      <c r="I18" s="123" t="s">
        <v>294</v>
      </c>
      <c r="J18" s="165"/>
      <c r="K18" s="172">
        <f>G18*$H18</f>
        <v>0</v>
      </c>
      <c r="L18" s="173">
        <f t="shared" si="2"/>
        <v>0</v>
      </c>
      <c r="M18" s="174"/>
      <c r="N18" s="448"/>
      <c r="O18" s="448"/>
      <c r="P18" s="449"/>
      <c r="Q18" s="152">
        <f>P18-H18*VLOOKUP(C18,Unit_Rates!$C$7:$E$51,3,FALSE)</f>
        <v>0</v>
      </c>
      <c r="R18" s="134">
        <v>0</v>
      </c>
      <c r="S18" s="134">
        <v>0</v>
      </c>
      <c r="T18" s="134">
        <v>0</v>
      </c>
      <c r="U18" s="134">
        <v>0</v>
      </c>
      <c r="V18" s="134">
        <v>0</v>
      </c>
      <c r="W18" s="134">
        <v>0</v>
      </c>
      <c r="X18" s="134">
        <v>0</v>
      </c>
      <c r="Y18" s="77">
        <f t="shared" si="3"/>
        <v>0</v>
      </c>
      <c r="AA18" s="5"/>
      <c r="AB18" s="5"/>
      <c r="AC18" s="5"/>
      <c r="AD18" s="5"/>
      <c r="AE18" s="5"/>
      <c r="AF18" s="5"/>
      <c r="AG18" s="5"/>
    </row>
    <row r="19" spans="2:33" x14ac:dyDescent="0.25">
      <c r="B19" s="84"/>
      <c r="C19" s="23" t="s">
        <v>126</v>
      </c>
      <c r="D19" t="str">
        <f>INDEX(Unit_Rates!$C$7:$K$113,MATCH($C19,Unit_Rates!$C$7:$C$113,0),5)</f>
        <v>Subtransmission</v>
      </c>
      <c r="E19" t="str">
        <f>INDEX(Unit_Rates!$C$7:$K$113,MATCH($C19,Unit_Rates!$C$7:$C$113,0),6)</f>
        <v>Augmentation</v>
      </c>
      <c r="F19" t="str">
        <f t="shared" si="4"/>
        <v>SubtransmissionAugmentation</v>
      </c>
      <c r="G19" s="170">
        <f>INDEX(Unit_Rates!$C$7:$K$113,MATCH($C19,Unit_Rates!$C$7:$C$113,0),7)</f>
        <v>465.00233333333324</v>
      </c>
      <c r="H19" s="171"/>
      <c r="I19" s="123" t="s">
        <v>294</v>
      </c>
      <c r="J19" s="165"/>
      <c r="K19" s="172">
        <f>G19*$H19</f>
        <v>0</v>
      </c>
      <c r="L19" s="173">
        <f t="shared" si="2"/>
        <v>0</v>
      </c>
      <c r="M19" s="174"/>
      <c r="N19" s="448"/>
      <c r="O19" s="448"/>
      <c r="P19" s="449"/>
      <c r="Q19" s="152">
        <f>P19-H19*VLOOKUP(C19,Unit_Rates!$C$7:$E$51,3,FALSE)</f>
        <v>0</v>
      </c>
      <c r="R19" s="134">
        <v>0</v>
      </c>
      <c r="S19" s="134">
        <v>0</v>
      </c>
      <c r="T19" s="134">
        <v>0</v>
      </c>
      <c r="U19" s="134">
        <v>0</v>
      </c>
      <c r="V19" s="134">
        <v>0</v>
      </c>
      <c r="W19" s="134">
        <v>0</v>
      </c>
      <c r="X19" s="134">
        <v>0</v>
      </c>
      <c r="Y19" s="77">
        <f t="shared" si="3"/>
        <v>0</v>
      </c>
    </row>
    <row r="20" spans="2:33" x14ac:dyDescent="0.25">
      <c r="B20" s="84"/>
      <c r="C20" s="23" t="s">
        <v>128</v>
      </c>
      <c r="D20" t="str">
        <f>D18</f>
        <v>Subtransmission</v>
      </c>
      <c r="E20" t="str">
        <f>E18</f>
        <v>Augmentation</v>
      </c>
      <c r="F20" t="str">
        <f t="shared" si="4"/>
        <v>SubtransmissionAugmentation</v>
      </c>
      <c r="G20" s="170">
        <f>INDEX(Unit_Rates!$C$7:$K$113,MATCH($C20,Unit_Rates!$C$7:$C$113,0),7)</f>
        <v>39.294999999999995</v>
      </c>
      <c r="H20" s="171"/>
      <c r="I20" s="175" t="s">
        <v>294</v>
      </c>
      <c r="J20" s="176"/>
      <c r="K20" s="177">
        <f>G20*$H20</f>
        <v>0</v>
      </c>
      <c r="L20" s="177">
        <f t="shared" si="2"/>
        <v>0</v>
      </c>
      <c r="M20" s="178"/>
      <c r="N20" s="448"/>
      <c r="O20" s="448"/>
      <c r="P20" s="450"/>
      <c r="Q20" s="152">
        <f>P20-H20*VLOOKUP(C20,Unit_Rates!$C$7:$E$51,3,FALSE)</f>
        <v>0</v>
      </c>
      <c r="R20" s="134">
        <v>0</v>
      </c>
      <c r="S20" s="134">
        <v>0</v>
      </c>
      <c r="T20" s="134">
        <v>0</v>
      </c>
      <c r="U20" s="134">
        <v>0</v>
      </c>
      <c r="V20" s="134">
        <v>0</v>
      </c>
      <c r="W20" s="134">
        <v>0</v>
      </c>
      <c r="X20" s="134">
        <v>0</v>
      </c>
      <c r="Y20" s="77">
        <f t="shared" si="3"/>
        <v>0</v>
      </c>
      <c r="AA20" s="5"/>
      <c r="AB20" s="5"/>
      <c r="AC20" s="5"/>
      <c r="AD20" s="5"/>
      <c r="AE20" s="5"/>
      <c r="AF20" s="5"/>
      <c r="AG20" s="5"/>
    </row>
    <row r="21" spans="2:33" x14ac:dyDescent="0.25">
      <c r="B21" s="84"/>
      <c r="C21" s="23" t="s">
        <v>130</v>
      </c>
      <c r="D21" t="str">
        <f>INDEX(Unit_Rates!$C$7:$K$113,MATCH($C21,Unit_Rates!$C$7:$C$113,0),5)</f>
        <v>Subtransmission</v>
      </c>
      <c r="E21" t="str">
        <f>INDEX(Unit_Rates!$C$7:$K$113,MATCH($C21,Unit_Rates!$C$7:$C$113,0),6)</f>
        <v>Augmentation</v>
      </c>
      <c r="F21" t="str">
        <f t="shared" si="4"/>
        <v>SubtransmissionAugmentation</v>
      </c>
      <c r="G21" s="170">
        <f>INDEX(Unit_Rates!$C$7:$K$113,MATCH($C21,Unit_Rates!$C$7:$C$113,0),7)</f>
        <v>42.974999999999994</v>
      </c>
      <c r="H21" s="171">
        <v>1</v>
      </c>
      <c r="I21" s="123" t="s">
        <v>294</v>
      </c>
      <c r="J21" s="165"/>
      <c r="K21" s="172">
        <f>G21*H21</f>
        <v>42.974999999999994</v>
      </c>
      <c r="L21" s="173">
        <f t="shared" si="2"/>
        <v>0</v>
      </c>
      <c r="M21" s="174"/>
      <c r="N21" s="448"/>
      <c r="O21" s="448"/>
      <c r="P21" s="449"/>
      <c r="Q21" s="152">
        <f>P21-H21*VLOOKUP(C21,Unit_Rates!$C$7:$E$51,3,FALSE)</f>
        <v>0</v>
      </c>
      <c r="R21" s="134">
        <v>0</v>
      </c>
      <c r="S21" s="134">
        <v>0</v>
      </c>
      <c r="T21" s="134">
        <v>0</v>
      </c>
      <c r="U21" s="134">
        <v>0</v>
      </c>
      <c r="V21" s="134">
        <v>0</v>
      </c>
      <c r="W21" s="134">
        <v>0</v>
      </c>
      <c r="X21" s="134">
        <v>0</v>
      </c>
      <c r="Y21" s="77">
        <f t="shared" si="3"/>
        <v>0</v>
      </c>
      <c r="AA21" s="5"/>
      <c r="AB21" s="5"/>
      <c r="AC21" s="5"/>
      <c r="AD21" s="5"/>
      <c r="AE21" s="5"/>
      <c r="AF21" s="5"/>
      <c r="AG21" s="5"/>
    </row>
    <row r="22" spans="2:33" x14ac:dyDescent="0.25">
      <c r="B22" s="84"/>
      <c r="C22" s="23" t="s">
        <v>132</v>
      </c>
      <c r="D22" t="str">
        <f>INDEX(Unit_Rates!$C$7:$K$113,MATCH($C22,Unit_Rates!$C$7:$C$113,0),5)</f>
        <v>Subtransmission</v>
      </c>
      <c r="E22" t="str">
        <f>INDEX(Unit_Rates!$C$7:$K$113,MATCH($C22,Unit_Rates!$C$7:$C$113,0),6)</f>
        <v>Augmentation</v>
      </c>
      <c r="F22" t="str">
        <f t="shared" si="4"/>
        <v>SubtransmissionAugmentation</v>
      </c>
      <c r="G22" s="170">
        <f>INDEX(Unit_Rates!$C$7:$K$113,MATCH($C22,Unit_Rates!$C$7:$C$113,0),7)</f>
        <v>0</v>
      </c>
      <c r="H22" s="171"/>
      <c r="I22" s="123" t="s">
        <v>294</v>
      </c>
      <c r="J22" s="165"/>
      <c r="K22" s="172">
        <f>G22*H22</f>
        <v>0</v>
      </c>
      <c r="L22" s="173">
        <f t="shared" si="2"/>
        <v>0</v>
      </c>
      <c r="M22" s="174"/>
      <c r="N22" s="448"/>
      <c r="O22" s="448"/>
      <c r="P22" s="449"/>
      <c r="Q22" s="152">
        <f>P22-H22*VLOOKUP(C22,Unit_Rates!$C$7:$E$51,3,FALSE)</f>
        <v>0</v>
      </c>
      <c r="R22" s="134">
        <v>0</v>
      </c>
      <c r="S22" s="134">
        <v>0</v>
      </c>
      <c r="T22" s="134">
        <v>0</v>
      </c>
      <c r="U22" s="134">
        <v>0</v>
      </c>
      <c r="V22" s="134">
        <v>0</v>
      </c>
      <c r="W22" s="134">
        <v>0</v>
      </c>
      <c r="X22" s="134">
        <v>0</v>
      </c>
      <c r="Y22" s="77">
        <f t="shared" si="3"/>
        <v>0</v>
      </c>
      <c r="AA22" s="5"/>
      <c r="AB22" s="5"/>
      <c r="AC22" s="5"/>
      <c r="AD22" s="5"/>
      <c r="AE22" s="5"/>
      <c r="AF22" s="5"/>
      <c r="AG22" s="5"/>
    </row>
    <row r="23" spans="2:33" x14ac:dyDescent="0.25">
      <c r="B23" s="84"/>
      <c r="C23" s="23" t="s">
        <v>133</v>
      </c>
      <c r="D23" t="str">
        <f>INDEX(Unit_Rates!$C$7:$K$113,MATCH($C23,Unit_Rates!$C$7:$C$113,0),5)</f>
        <v>SCADA/Network control</v>
      </c>
      <c r="E23" t="str">
        <f>INDEX(Unit_Rates!$C$7:$K$113,MATCH($C23,Unit_Rates!$C$7:$C$113,0),6)</f>
        <v>Augmentation</v>
      </c>
      <c r="F23" t="str">
        <f t="shared" si="4"/>
        <v>SCADA/Network controlAugmentation</v>
      </c>
      <c r="G23" s="170">
        <f>INDEX(Unit_Rates!$C$7:$K$113,MATCH($C23,Unit_Rates!$C$7:$C$113,0),7)</f>
        <v>1158.2999999999995</v>
      </c>
      <c r="H23" s="171">
        <v>1</v>
      </c>
      <c r="I23" s="123" t="s">
        <v>294</v>
      </c>
      <c r="J23" s="165"/>
      <c r="K23" s="172">
        <f>G23*H23</f>
        <v>1158.2999999999995</v>
      </c>
      <c r="L23" s="173">
        <f t="shared" si="2"/>
        <v>0</v>
      </c>
      <c r="M23" s="174"/>
      <c r="N23" s="448"/>
      <c r="O23" s="448"/>
      <c r="P23" s="449"/>
      <c r="Q23" s="152">
        <f>P23-H23*VLOOKUP(C23,Unit_Rates!$C$7:$E$51,3,FALSE)</f>
        <v>0</v>
      </c>
      <c r="R23" s="134">
        <v>0</v>
      </c>
      <c r="S23" s="134">
        <v>0</v>
      </c>
      <c r="T23" s="134">
        <v>0</v>
      </c>
      <c r="U23" s="134">
        <v>0</v>
      </c>
      <c r="V23" s="134">
        <v>0</v>
      </c>
      <c r="W23" s="134">
        <v>0</v>
      </c>
      <c r="X23" s="134">
        <v>0</v>
      </c>
      <c r="Y23" s="77">
        <f t="shared" si="3"/>
        <v>0</v>
      </c>
      <c r="AA23" s="5"/>
      <c r="AB23" s="5"/>
      <c r="AC23" s="5"/>
      <c r="AD23" s="5"/>
      <c r="AE23" s="5"/>
      <c r="AF23" s="5"/>
      <c r="AG23" s="5"/>
    </row>
    <row r="24" spans="2:33" x14ac:dyDescent="0.25">
      <c r="B24" s="84"/>
      <c r="C24" s="23" t="s">
        <v>135</v>
      </c>
      <c r="D24" t="str">
        <f>INDEX(Unit_Rates!$C$7:$K$113,MATCH($C24,Unit_Rates!$C$7:$C$113,0),5)</f>
        <v>Subtransmission</v>
      </c>
      <c r="E24" t="str">
        <f>INDEX(Unit_Rates!$C$7:$K$113,MATCH($C24,Unit_Rates!$C$7:$C$113,0),6)</f>
        <v>Augmentation</v>
      </c>
      <c r="F24" t="str">
        <f t="shared" si="4"/>
        <v>SubtransmissionAugmentation</v>
      </c>
      <c r="G24" s="170">
        <f>INDEX(Unit_Rates!$C$7:$K$113,MATCH($C24,Unit_Rates!$C$7:$C$113,0),7)</f>
        <v>0</v>
      </c>
      <c r="H24" s="171"/>
      <c r="I24" s="123" t="s">
        <v>294</v>
      </c>
      <c r="J24" s="165"/>
      <c r="K24" s="172">
        <f>G24*H24</f>
        <v>0</v>
      </c>
      <c r="L24" s="173">
        <f t="shared" si="2"/>
        <v>0</v>
      </c>
      <c r="M24" s="174"/>
      <c r="N24" s="448"/>
      <c r="O24" s="448"/>
      <c r="P24" s="449"/>
      <c r="Q24" s="152">
        <f>P24-H24*VLOOKUP(C24,Unit_Rates!$C$7:$E$51,3,FALSE)</f>
        <v>0</v>
      </c>
      <c r="R24" s="134">
        <v>0</v>
      </c>
      <c r="S24" s="134">
        <v>0</v>
      </c>
      <c r="T24" s="134">
        <v>0</v>
      </c>
      <c r="U24" s="134">
        <v>0</v>
      </c>
      <c r="V24" s="134">
        <v>0</v>
      </c>
      <c r="W24" s="134">
        <v>0</v>
      </c>
      <c r="X24" s="134">
        <v>0</v>
      </c>
      <c r="Y24" s="77">
        <f t="shared" si="3"/>
        <v>0</v>
      </c>
    </row>
    <row r="25" spans="2:33" x14ac:dyDescent="0.25">
      <c r="B25" s="84"/>
      <c r="C25" s="23" t="s">
        <v>137</v>
      </c>
      <c r="D25" t="str">
        <f>INDEX(Unit_Rates!$C$7:$K$113,MATCH($C25,Unit_Rates!$C$7:$C$113,0),5)</f>
        <v>Subtransmission</v>
      </c>
      <c r="E25" t="str">
        <f>INDEX(Unit_Rates!$C$7:$K$113,MATCH($C25,Unit_Rates!$C$7:$C$113,0),6)</f>
        <v>Augmentation</v>
      </c>
      <c r="F25" t="str">
        <f t="shared" si="4"/>
        <v>SubtransmissionAugmentation</v>
      </c>
      <c r="G25" s="170">
        <f>INDEX(Unit_Rates!$C$7:$K$113,MATCH($C25,Unit_Rates!$C$7:$C$113,0),7)</f>
        <v>1353.9999999999995</v>
      </c>
      <c r="H25" s="171"/>
      <c r="I25" s="123" t="s">
        <v>294</v>
      </c>
      <c r="J25" s="165"/>
      <c r="K25" s="172">
        <f t="shared" ref="K25:K44" si="5">G25*H25</f>
        <v>0</v>
      </c>
      <c r="L25" s="173">
        <f t="shared" si="2"/>
        <v>0</v>
      </c>
      <c r="M25" s="174"/>
      <c r="N25" s="448"/>
      <c r="O25" s="448"/>
      <c r="P25" s="449"/>
      <c r="Q25" s="152">
        <f>P25-H25*VLOOKUP(C25,Unit_Rates!$C$7:$E$51,3,FALSE)</f>
        <v>0</v>
      </c>
      <c r="R25" s="134">
        <v>0</v>
      </c>
      <c r="S25" s="134">
        <v>0</v>
      </c>
      <c r="T25" s="134">
        <v>0</v>
      </c>
      <c r="U25" s="134">
        <v>0</v>
      </c>
      <c r="V25" s="134">
        <v>0</v>
      </c>
      <c r="W25" s="134">
        <v>0</v>
      </c>
      <c r="X25" s="134">
        <v>0</v>
      </c>
      <c r="Y25" s="77">
        <f t="shared" si="3"/>
        <v>0</v>
      </c>
    </row>
    <row r="26" spans="2:33" x14ac:dyDescent="0.25">
      <c r="B26" s="84"/>
      <c r="C26" s="23" t="s">
        <v>139</v>
      </c>
      <c r="D26" t="str">
        <f>INDEX(Unit_Rates!$C$7:$K$113,MATCH($C26,Unit_Rates!$C$7:$C$113,0),5)</f>
        <v>Subtransmission</v>
      </c>
      <c r="E26" t="str">
        <f>INDEX(Unit_Rates!$C$7:$K$113,MATCH($C26,Unit_Rates!$C$7:$C$113,0),6)</f>
        <v>Augmentation</v>
      </c>
      <c r="F26" t="str">
        <f t="shared" si="4"/>
        <v>SubtransmissionAugmentation</v>
      </c>
      <c r="G26" s="170">
        <f>INDEX(Unit_Rates!$C$7:$K$113,MATCH($C26,Unit_Rates!$C$7:$C$113,0),7)</f>
        <v>1461.1162790697672</v>
      </c>
      <c r="H26" s="171"/>
      <c r="I26" s="123" t="s">
        <v>294</v>
      </c>
      <c r="J26" s="165"/>
      <c r="K26" s="172">
        <f t="shared" si="5"/>
        <v>0</v>
      </c>
      <c r="L26" s="173">
        <f t="shared" si="2"/>
        <v>0</v>
      </c>
      <c r="M26" s="174"/>
      <c r="N26" s="448"/>
      <c r="O26" s="448"/>
      <c r="P26" s="449"/>
      <c r="Q26" s="152">
        <f>P26-H26*VLOOKUP(C26,Unit_Rates!$C$7:$E$51,3,FALSE)</f>
        <v>0</v>
      </c>
      <c r="R26" s="134">
        <v>0</v>
      </c>
      <c r="S26" s="134">
        <v>0</v>
      </c>
      <c r="T26" s="134">
        <v>0</v>
      </c>
      <c r="U26" s="134">
        <v>0</v>
      </c>
      <c r="V26" s="134">
        <v>0</v>
      </c>
      <c r="W26" s="134">
        <v>0</v>
      </c>
      <c r="X26" s="134">
        <v>0</v>
      </c>
      <c r="Y26" s="77">
        <f t="shared" si="3"/>
        <v>0</v>
      </c>
    </row>
    <row r="27" spans="2:33" x14ac:dyDescent="0.25">
      <c r="B27" s="84"/>
      <c r="C27" s="23" t="s">
        <v>141</v>
      </c>
      <c r="D27" t="str">
        <f>INDEX(Unit_Rates!$C$7:$K$113,MATCH($C27,Unit_Rates!$C$7:$C$113,0),5)</f>
        <v>Subtransmission</v>
      </c>
      <c r="E27" t="str">
        <f>INDEX(Unit_Rates!$C$7:$K$113,MATCH($C27,Unit_Rates!$C$7:$C$113,0),6)</f>
        <v>Augmentation</v>
      </c>
      <c r="F27" t="str">
        <f t="shared" si="4"/>
        <v>SubtransmissionAugmentation</v>
      </c>
      <c r="G27" s="170">
        <f>INDEX(Unit_Rates!$C$7:$K$113,MATCH($C27,Unit_Rates!$C$7:$C$113,0),7)</f>
        <v>699.99999999999989</v>
      </c>
      <c r="H27" s="171"/>
      <c r="I27" s="123" t="s">
        <v>294</v>
      </c>
      <c r="J27" s="165"/>
      <c r="K27" s="172">
        <f t="shared" si="5"/>
        <v>0</v>
      </c>
      <c r="L27" s="173">
        <f t="shared" si="2"/>
        <v>0</v>
      </c>
      <c r="M27" s="174"/>
      <c r="N27" s="448"/>
      <c r="O27" s="448"/>
      <c r="P27" s="449"/>
      <c r="Q27" s="152">
        <f>P27-H27*VLOOKUP(C27,Unit_Rates!$C$7:$E$51,3,FALSE)</f>
        <v>0</v>
      </c>
      <c r="R27" s="134">
        <v>0</v>
      </c>
      <c r="S27" s="134">
        <v>0</v>
      </c>
      <c r="T27" s="134">
        <v>0</v>
      </c>
      <c r="U27" s="134">
        <v>0</v>
      </c>
      <c r="V27" s="134">
        <v>0</v>
      </c>
      <c r="W27" s="134">
        <v>0</v>
      </c>
      <c r="X27" s="134">
        <v>0</v>
      </c>
      <c r="Y27" s="77">
        <f t="shared" si="3"/>
        <v>0</v>
      </c>
    </row>
    <row r="28" spans="2:33" x14ac:dyDescent="0.25">
      <c r="B28" s="84"/>
      <c r="C28" s="23" t="s">
        <v>147</v>
      </c>
      <c r="D28" t="str">
        <f>INDEX(Unit_Rates!$C$7:$K$113,MATCH($C28,Unit_Rates!$C$7:$C$113,0),5)</f>
        <v>Subtransmission</v>
      </c>
      <c r="E28" t="str">
        <f>INDEX(Unit_Rates!$C$7:$K$113,MATCH($C28,Unit_Rates!$C$7:$C$113,0),6)</f>
        <v>Augmentation</v>
      </c>
      <c r="F28" t="str">
        <f t="shared" si="4"/>
        <v>SubtransmissionAugmentation</v>
      </c>
      <c r="G28" s="170">
        <f>INDEX(Unit_Rates!$C$7:$K$113,MATCH($C28,Unit_Rates!$C$7:$C$113,0),7)</f>
        <v>91.292437209302321</v>
      </c>
      <c r="H28" s="171"/>
      <c r="I28" s="123" t="s">
        <v>294</v>
      </c>
      <c r="J28" s="165"/>
      <c r="K28" s="172">
        <f t="shared" si="5"/>
        <v>0</v>
      </c>
      <c r="L28" s="173">
        <f t="shared" si="2"/>
        <v>0</v>
      </c>
      <c r="M28" s="174"/>
      <c r="N28" s="448"/>
      <c r="O28" s="448"/>
      <c r="P28" s="449"/>
      <c r="Q28" s="152">
        <f>P28-H28*VLOOKUP(C28,Unit_Rates!$C$7:$E$51,3,FALSE)</f>
        <v>0</v>
      </c>
      <c r="R28" s="134">
        <v>0</v>
      </c>
      <c r="S28" s="134">
        <v>0</v>
      </c>
      <c r="T28" s="134">
        <v>0</v>
      </c>
      <c r="U28" s="134">
        <v>0</v>
      </c>
      <c r="V28" s="134">
        <v>0</v>
      </c>
      <c r="W28" s="134">
        <v>0</v>
      </c>
      <c r="X28" s="134">
        <v>0</v>
      </c>
      <c r="Y28" s="77">
        <f t="shared" si="3"/>
        <v>0</v>
      </c>
    </row>
    <row r="29" spans="2:33" x14ac:dyDescent="0.25">
      <c r="B29" s="84"/>
      <c r="C29" s="23" t="s">
        <v>149</v>
      </c>
      <c r="D29" t="str">
        <f>INDEX(Unit_Rates!$C$7:$K$113,MATCH($C29,Unit_Rates!$C$7:$C$113,0),5)</f>
        <v>Subtransmission</v>
      </c>
      <c r="E29" t="str">
        <f>INDEX(Unit_Rates!$C$7:$K$113,MATCH($C29,Unit_Rates!$C$7:$C$113,0),6)</f>
        <v>Augmentation</v>
      </c>
      <c r="F29" t="str">
        <f t="shared" si="4"/>
        <v>SubtransmissionAugmentation</v>
      </c>
      <c r="G29" s="170">
        <f>INDEX(Unit_Rates!$C$7:$K$113,MATCH($C29,Unit_Rates!$C$7:$C$113,0),7)</f>
        <v>0</v>
      </c>
      <c r="H29" s="171"/>
      <c r="I29" s="123" t="s">
        <v>294</v>
      </c>
      <c r="J29" s="165"/>
      <c r="K29" s="172">
        <f t="shared" si="5"/>
        <v>0</v>
      </c>
      <c r="L29" s="173">
        <f t="shared" si="2"/>
        <v>0</v>
      </c>
      <c r="M29" s="174"/>
      <c r="N29" s="448"/>
      <c r="O29" s="448"/>
      <c r="P29" s="449"/>
      <c r="Q29" s="152">
        <f>P29-H29*VLOOKUP(C29,Unit_Rates!$C$7:$E$51,3,FALSE)</f>
        <v>0</v>
      </c>
      <c r="R29" s="134">
        <v>0</v>
      </c>
      <c r="S29" s="134">
        <v>0</v>
      </c>
      <c r="T29" s="134">
        <v>0</v>
      </c>
      <c r="U29" s="134">
        <v>0</v>
      </c>
      <c r="V29" s="134">
        <v>0</v>
      </c>
      <c r="W29" s="134">
        <v>0</v>
      </c>
      <c r="X29" s="134">
        <v>0</v>
      </c>
      <c r="Y29" s="77">
        <f t="shared" si="3"/>
        <v>0</v>
      </c>
    </row>
    <row r="30" spans="2:33" x14ac:dyDescent="0.25">
      <c r="B30" s="84"/>
      <c r="C30" s="23" t="s">
        <v>150</v>
      </c>
      <c r="D30" t="str">
        <f>INDEX(Unit_Rates!$C$7:$K$113,MATCH($C30,Unit_Rates!$C$7:$C$113,0),5)</f>
        <v>Subtransmission</v>
      </c>
      <c r="E30" t="str">
        <f>INDEX(Unit_Rates!$C$7:$K$113,MATCH($C30,Unit_Rates!$C$7:$C$113,0),6)</f>
        <v>Augmentation</v>
      </c>
      <c r="F30" t="str">
        <f t="shared" si="4"/>
        <v>SubtransmissionAugmentation</v>
      </c>
      <c r="G30" s="170">
        <f>INDEX(Unit_Rates!$C$7:$K$113,MATCH($C30,Unit_Rates!$C$7:$C$113,0),7)</f>
        <v>107.00599999999997</v>
      </c>
      <c r="H30" s="171"/>
      <c r="I30" s="123" t="s">
        <v>294</v>
      </c>
      <c r="J30" s="165"/>
      <c r="K30" s="172">
        <f t="shared" si="5"/>
        <v>0</v>
      </c>
      <c r="L30" s="173">
        <f t="shared" si="2"/>
        <v>0</v>
      </c>
      <c r="M30" s="174"/>
      <c r="N30" s="448"/>
      <c r="O30" s="448"/>
      <c r="P30" s="449"/>
      <c r="Q30" s="152">
        <f>P30-H30*VLOOKUP(C30,Unit_Rates!$C$7:$E$51,3,FALSE)</f>
        <v>0</v>
      </c>
      <c r="R30" s="134">
        <v>0</v>
      </c>
      <c r="S30" s="134">
        <v>0</v>
      </c>
      <c r="T30" s="134">
        <v>0</v>
      </c>
      <c r="U30" s="134">
        <v>0</v>
      </c>
      <c r="V30" s="134">
        <v>0</v>
      </c>
      <c r="W30" s="134">
        <v>0</v>
      </c>
      <c r="X30" s="134">
        <v>0</v>
      </c>
      <c r="Y30" s="77">
        <f t="shared" si="3"/>
        <v>0</v>
      </c>
    </row>
    <row r="31" spans="2:33" x14ac:dyDescent="0.25">
      <c r="B31" s="84"/>
      <c r="C31" s="23" t="s">
        <v>152</v>
      </c>
      <c r="D31" t="str">
        <f>INDEX(Unit_Rates!$C$7:$K$113,MATCH($C31,Unit_Rates!$C$7:$C$113,0),5)</f>
        <v>Subtransmission</v>
      </c>
      <c r="E31" t="str">
        <f>INDEX(Unit_Rates!$C$7:$K$113,MATCH($C31,Unit_Rates!$C$7:$C$113,0),6)</f>
        <v>Augmentation</v>
      </c>
      <c r="F31" t="str">
        <f t="shared" si="4"/>
        <v>SubtransmissionAugmentation</v>
      </c>
      <c r="G31" s="170">
        <f>INDEX(Unit_Rates!$C$7:$K$113,MATCH($C31,Unit_Rates!$C$7:$C$113,0),7)</f>
        <v>7.6639999999999979</v>
      </c>
      <c r="H31" s="171"/>
      <c r="I31" s="123" t="s">
        <v>294</v>
      </c>
      <c r="J31" s="165"/>
      <c r="K31" s="172">
        <f t="shared" si="5"/>
        <v>0</v>
      </c>
      <c r="L31" s="173">
        <f t="shared" si="2"/>
        <v>0</v>
      </c>
      <c r="M31" s="174"/>
      <c r="N31" s="448"/>
      <c r="O31" s="448"/>
      <c r="P31" s="449"/>
      <c r="Q31" s="152">
        <f>P31-H31*VLOOKUP(C31,Unit_Rates!$C$7:$E$51,3,FALSE)</f>
        <v>0</v>
      </c>
      <c r="R31" s="134">
        <v>0</v>
      </c>
      <c r="S31" s="134">
        <v>0</v>
      </c>
      <c r="T31" s="134">
        <v>0</v>
      </c>
      <c r="U31" s="134">
        <v>0</v>
      </c>
      <c r="V31" s="134">
        <v>0</v>
      </c>
      <c r="W31" s="134">
        <v>0</v>
      </c>
      <c r="X31" s="134">
        <v>0</v>
      </c>
      <c r="Y31" s="77">
        <f t="shared" si="3"/>
        <v>0</v>
      </c>
    </row>
    <row r="32" spans="2:33" x14ac:dyDescent="0.25">
      <c r="B32" s="84"/>
      <c r="C32" s="23" t="s">
        <v>156</v>
      </c>
      <c r="D32" t="str">
        <f>INDEX(Unit_Rates!$C$7:$K$113,MATCH($C32,Unit_Rates!$C$7:$C$113,0),5)</f>
        <v>Subtransmission</v>
      </c>
      <c r="E32" t="str">
        <f>INDEX(Unit_Rates!$C$7:$K$113,MATCH($C32,Unit_Rates!$C$7:$C$113,0),6)</f>
        <v>Augmentation</v>
      </c>
      <c r="F32" t="str">
        <f t="shared" si="4"/>
        <v>SubtransmissionAugmentation</v>
      </c>
      <c r="G32" s="170">
        <f>INDEX(Unit_Rates!$C$7:$K$113,MATCH($C32,Unit_Rates!$C$7:$C$113,0),7)</f>
        <v>27.162999999999993</v>
      </c>
      <c r="H32" s="171"/>
      <c r="I32" s="123" t="s">
        <v>294</v>
      </c>
      <c r="J32" s="165"/>
      <c r="K32" s="172">
        <f t="shared" si="5"/>
        <v>0</v>
      </c>
      <c r="L32" s="173">
        <f t="shared" si="2"/>
        <v>0</v>
      </c>
      <c r="M32" s="174"/>
      <c r="N32" s="448"/>
      <c r="O32" s="448"/>
      <c r="P32" s="449"/>
      <c r="Q32" s="152">
        <f>P32-H32*VLOOKUP(C32,Unit_Rates!$C$7:$E$51,3,FALSE)</f>
        <v>0</v>
      </c>
      <c r="R32" s="134">
        <v>0</v>
      </c>
      <c r="S32" s="134">
        <v>0</v>
      </c>
      <c r="T32" s="134">
        <v>0</v>
      </c>
      <c r="U32" s="134">
        <v>0</v>
      </c>
      <c r="V32" s="134">
        <v>0</v>
      </c>
      <c r="W32" s="134">
        <v>0</v>
      </c>
      <c r="X32" s="134">
        <v>0</v>
      </c>
      <c r="Y32" s="77">
        <f t="shared" si="3"/>
        <v>0</v>
      </c>
    </row>
    <row r="33" spans="2:25" x14ac:dyDescent="0.25">
      <c r="B33" s="84"/>
      <c r="C33" s="23" t="s">
        <v>157</v>
      </c>
      <c r="D33" t="str">
        <f>INDEX(Unit_Rates!$C$7:$K$113,MATCH($C33,Unit_Rates!$C$7:$C$113,0),5)</f>
        <v>Subtransmission</v>
      </c>
      <c r="E33" t="str">
        <f>INDEX(Unit_Rates!$C$7:$K$113,MATCH($C33,Unit_Rates!$C$7:$C$113,0),6)</f>
        <v>Augmentation</v>
      </c>
      <c r="F33" t="str">
        <f t="shared" si="4"/>
        <v>SubtransmissionAugmentation</v>
      </c>
      <c r="G33" s="170">
        <f>INDEX(Unit_Rates!$C$7:$K$113,MATCH($C33,Unit_Rates!$C$7:$C$113,0),7)</f>
        <v>0</v>
      </c>
      <c r="H33" s="171"/>
      <c r="I33" s="123" t="s">
        <v>294</v>
      </c>
      <c r="J33" s="165"/>
      <c r="K33" s="172">
        <f t="shared" si="5"/>
        <v>0</v>
      </c>
      <c r="L33" s="173">
        <f t="shared" si="2"/>
        <v>0</v>
      </c>
      <c r="M33" s="174"/>
      <c r="N33" s="448"/>
      <c r="O33" s="448"/>
      <c r="P33" s="449"/>
      <c r="Q33" s="152">
        <f>P33-H33*VLOOKUP(C33,Unit_Rates!$C$7:$E$51,3,FALSE)</f>
        <v>0</v>
      </c>
      <c r="R33" s="134">
        <v>0</v>
      </c>
      <c r="S33" s="134">
        <v>0</v>
      </c>
      <c r="T33" s="134">
        <v>0</v>
      </c>
      <c r="U33" s="134">
        <v>0</v>
      </c>
      <c r="V33" s="134">
        <v>0</v>
      </c>
      <c r="W33" s="134">
        <v>0</v>
      </c>
      <c r="X33" s="134">
        <v>0</v>
      </c>
      <c r="Y33" s="77">
        <f t="shared" si="3"/>
        <v>0</v>
      </c>
    </row>
    <row r="34" spans="2:25" x14ac:dyDescent="0.25">
      <c r="B34" s="84"/>
      <c r="C34" s="23" t="s">
        <v>155</v>
      </c>
      <c r="D34" t="str">
        <f>INDEX(Unit_Rates!$C$7:$K$113,MATCH($C34,Unit_Rates!$C$7:$C$113,0),5)</f>
        <v>Subtransmission</v>
      </c>
      <c r="E34" t="str">
        <f>INDEX(Unit_Rates!$C$7:$K$113,MATCH($C34,Unit_Rates!$C$7:$C$113,0),6)</f>
        <v>Augmentation</v>
      </c>
      <c r="F34" t="str">
        <f t="shared" si="4"/>
        <v>SubtransmissionAugmentation</v>
      </c>
      <c r="G34" s="170">
        <f>INDEX(Unit_Rates!$C$7:$K$113,MATCH($C34,Unit_Rates!$C$7:$C$113,0),7)</f>
        <v>0</v>
      </c>
      <c r="H34" s="171"/>
      <c r="I34" s="123" t="s">
        <v>294</v>
      </c>
      <c r="J34" s="165"/>
      <c r="K34" s="172">
        <f t="shared" si="5"/>
        <v>0</v>
      </c>
      <c r="L34" s="173">
        <f t="shared" si="2"/>
        <v>0</v>
      </c>
      <c r="M34" s="174"/>
      <c r="N34" s="448"/>
      <c r="O34" s="448"/>
      <c r="P34" s="449"/>
      <c r="Q34" s="152">
        <f>P34-H34*VLOOKUP(C34,Unit_Rates!$C$7:$E$51,3,FALSE)</f>
        <v>0</v>
      </c>
      <c r="R34" s="134">
        <v>0</v>
      </c>
      <c r="S34" s="134">
        <v>0</v>
      </c>
      <c r="T34" s="134">
        <v>0</v>
      </c>
      <c r="U34" s="134">
        <v>0</v>
      </c>
      <c r="V34" s="134">
        <v>0</v>
      </c>
      <c r="W34" s="134">
        <v>0</v>
      </c>
      <c r="X34" s="134">
        <v>0</v>
      </c>
      <c r="Y34" s="77">
        <f t="shared" si="3"/>
        <v>0</v>
      </c>
    </row>
    <row r="35" spans="2:25" x14ac:dyDescent="0.25">
      <c r="B35" s="84"/>
      <c r="C35" s="23" t="s">
        <v>159</v>
      </c>
      <c r="D35" t="str">
        <f>INDEX(Unit_Rates!$C$7:$K$113,MATCH($C35,Unit_Rates!$C$7:$C$113,0),5)</f>
        <v>Subtransmission</v>
      </c>
      <c r="E35" t="str">
        <f>INDEX(Unit_Rates!$C$7:$K$113,MATCH($C35,Unit_Rates!$C$7:$C$113,0),6)</f>
        <v>Augmentation</v>
      </c>
      <c r="F35" t="str">
        <f t="shared" si="4"/>
        <v>SubtransmissionAugmentation</v>
      </c>
      <c r="G35" s="170">
        <f>INDEX(Unit_Rates!$C$7:$K$113,MATCH($C35,Unit_Rates!$C$7:$C$113,0),7)</f>
        <v>0.61999999999999977</v>
      </c>
      <c r="H35" s="171"/>
      <c r="I35" s="123" t="s">
        <v>294</v>
      </c>
      <c r="J35" s="165"/>
      <c r="K35" s="172">
        <f t="shared" si="5"/>
        <v>0</v>
      </c>
      <c r="L35" s="173">
        <f t="shared" si="2"/>
        <v>0</v>
      </c>
      <c r="M35" s="174"/>
      <c r="N35" s="448"/>
      <c r="O35" s="448"/>
      <c r="P35" s="449"/>
      <c r="Q35" s="152">
        <f>P35-H35*VLOOKUP(C35,Unit_Rates!$C$7:$E$51,3,FALSE)</f>
        <v>0</v>
      </c>
      <c r="R35" s="134">
        <v>0</v>
      </c>
      <c r="S35" s="134">
        <v>0</v>
      </c>
      <c r="T35" s="134">
        <v>0</v>
      </c>
      <c r="U35" s="134">
        <v>0</v>
      </c>
      <c r="V35" s="134">
        <v>0</v>
      </c>
      <c r="W35" s="134">
        <v>0</v>
      </c>
      <c r="X35" s="134">
        <v>0</v>
      </c>
      <c r="Y35" s="77">
        <f t="shared" si="3"/>
        <v>0</v>
      </c>
    </row>
    <row r="36" spans="2:25" x14ac:dyDescent="0.25">
      <c r="B36" s="84"/>
      <c r="C36" s="23" t="s">
        <v>179</v>
      </c>
      <c r="D36" t="str">
        <f>INDEX(Unit_Rates!$C$7:$K$113,MATCH($C36,Unit_Rates!$C$7:$C$113,0),5)</f>
        <v>Subtransmission</v>
      </c>
      <c r="E36" t="str">
        <f>INDEX(Unit_Rates!$C$7:$K$113,MATCH($C36,Unit_Rates!$C$7:$C$113,0),6)</f>
        <v>Augmentation</v>
      </c>
      <c r="F36" t="str">
        <f t="shared" si="4"/>
        <v>SubtransmissionAugmentation</v>
      </c>
      <c r="G36" s="170">
        <f>INDEX(Unit_Rates!$C$7:$K$113,MATCH($C36,Unit_Rates!$C$7:$C$113,0),7)</f>
        <v>0</v>
      </c>
      <c r="H36" s="171"/>
      <c r="I36" s="123" t="s">
        <v>294</v>
      </c>
      <c r="J36" s="165"/>
      <c r="K36" s="172">
        <f t="shared" si="5"/>
        <v>0</v>
      </c>
      <c r="L36" s="173">
        <f t="shared" si="2"/>
        <v>0</v>
      </c>
      <c r="M36" s="174"/>
      <c r="N36" s="448"/>
      <c r="O36" s="448"/>
      <c r="P36" s="449"/>
      <c r="Q36" s="152">
        <f>P36-H36*VLOOKUP(C36,Unit_Rates!$C$7:$E$51,3,FALSE)</f>
        <v>0</v>
      </c>
      <c r="R36" s="134">
        <v>0</v>
      </c>
      <c r="S36" s="134">
        <v>0</v>
      </c>
      <c r="T36" s="134">
        <v>0</v>
      </c>
      <c r="U36" s="134">
        <v>0</v>
      </c>
      <c r="V36" s="134">
        <v>0</v>
      </c>
      <c r="W36" s="134">
        <v>0</v>
      </c>
      <c r="X36" s="134">
        <v>0</v>
      </c>
      <c r="Y36" s="77">
        <f t="shared" si="3"/>
        <v>0</v>
      </c>
    </row>
    <row r="37" spans="2:25" x14ac:dyDescent="0.25">
      <c r="B37" s="84"/>
      <c r="C37" s="23" t="s">
        <v>161</v>
      </c>
      <c r="D37" t="str">
        <f>INDEX(Unit_Rates!$C$7:$K$113,MATCH($C37,Unit_Rates!$C$7:$C$113,0),5)</f>
        <v>Subtransmission</v>
      </c>
      <c r="E37" t="str">
        <f>INDEX(Unit_Rates!$C$7:$K$113,MATCH($C37,Unit_Rates!$C$7:$C$113,0),6)</f>
        <v>Augmentation</v>
      </c>
      <c r="F37" t="str">
        <f t="shared" si="4"/>
        <v>SubtransmissionAugmentation</v>
      </c>
      <c r="G37" s="170">
        <f>INDEX(Unit_Rates!$C$7:$K$113,MATCH($C37,Unit_Rates!$C$7:$C$113,0),7)</f>
        <v>93.853999999999985</v>
      </c>
      <c r="H37" s="171"/>
      <c r="I37" s="123" t="s">
        <v>294</v>
      </c>
      <c r="J37" s="165"/>
      <c r="K37" s="172">
        <f t="shared" si="5"/>
        <v>0</v>
      </c>
      <c r="L37" s="173">
        <f t="shared" si="2"/>
        <v>0</v>
      </c>
      <c r="M37" s="174"/>
      <c r="N37" s="448"/>
      <c r="O37" s="448"/>
      <c r="P37" s="449"/>
      <c r="Q37" s="152">
        <f>P37-H37*VLOOKUP(C37,Unit_Rates!$C$7:$E$51,3,FALSE)</f>
        <v>0</v>
      </c>
      <c r="R37" s="134">
        <v>0</v>
      </c>
      <c r="S37" s="134">
        <v>0</v>
      </c>
      <c r="T37" s="134">
        <v>0</v>
      </c>
      <c r="U37" s="134">
        <v>0</v>
      </c>
      <c r="V37" s="134">
        <v>0</v>
      </c>
      <c r="W37" s="134">
        <v>0</v>
      </c>
      <c r="X37" s="134">
        <v>0</v>
      </c>
      <c r="Y37" s="77">
        <f t="shared" si="3"/>
        <v>0</v>
      </c>
    </row>
    <row r="38" spans="2:25" x14ac:dyDescent="0.25">
      <c r="B38" s="84"/>
      <c r="C38" s="23" t="s">
        <v>441</v>
      </c>
      <c r="D38" t="str">
        <f>INDEX(Unit_Rates!$C$7:$K$113,MATCH($C38,Unit_Rates!$C$7:$C$113,0),5)</f>
        <v>Subtransmission</v>
      </c>
      <c r="E38" t="str">
        <f>INDEX(Unit_Rates!$C$7:$K$113,MATCH($C38,Unit_Rates!$C$7:$C$113,0),6)</f>
        <v>Augmentation</v>
      </c>
      <c r="F38" t="str">
        <f t="shared" si="4"/>
        <v>SubtransmissionAugmentation</v>
      </c>
      <c r="G38" s="170">
        <f>INDEX(Unit_Rates!$C$7:$K$113,MATCH($C38,Unit_Rates!$C$7:$C$113,0),7)</f>
        <v>109.17591463414668</v>
      </c>
      <c r="H38" s="171">
        <v>1</v>
      </c>
      <c r="I38" s="123" t="s">
        <v>294</v>
      </c>
      <c r="J38" s="165"/>
      <c r="K38" s="172">
        <f t="shared" si="5"/>
        <v>109.17591463414668</v>
      </c>
      <c r="L38" s="173">
        <f t="shared" si="2"/>
        <v>0</v>
      </c>
      <c r="M38" s="174"/>
      <c r="N38" s="448"/>
      <c r="O38" s="448"/>
      <c r="P38" s="449"/>
      <c r="Q38" s="152">
        <f>P38-H38*VLOOKUP(C38,Unit_Rates!$C$7:$E$51,3,FALSE)</f>
        <v>0</v>
      </c>
      <c r="R38" s="134">
        <v>0</v>
      </c>
      <c r="S38" s="134">
        <v>0</v>
      </c>
      <c r="T38" s="134">
        <v>0</v>
      </c>
      <c r="U38" s="134">
        <v>0</v>
      </c>
      <c r="V38" s="134">
        <v>0</v>
      </c>
      <c r="W38" s="134">
        <v>0</v>
      </c>
      <c r="X38" s="134">
        <v>0</v>
      </c>
      <c r="Y38" s="77">
        <f t="shared" si="3"/>
        <v>0</v>
      </c>
    </row>
    <row r="39" spans="2:25" x14ac:dyDescent="0.25">
      <c r="B39" s="84"/>
      <c r="C39" s="23" t="s">
        <v>169</v>
      </c>
      <c r="D39" t="str">
        <f>INDEX(Unit_Rates!$C$7:$K$113,MATCH($C39,Unit_Rates!$C$7:$C$113,0),5)</f>
        <v>Subtransmission</v>
      </c>
      <c r="E39" t="str">
        <f>INDEX(Unit_Rates!$C$7:$K$113,MATCH($C39,Unit_Rates!$C$7:$C$113,0),6)</f>
        <v>Augmentation</v>
      </c>
      <c r="F39" t="str">
        <f t="shared" si="4"/>
        <v>SubtransmissionAugmentation</v>
      </c>
      <c r="G39" s="170">
        <f>INDEX(Unit_Rates!$C$7:$K$113,MATCH($C39,Unit_Rates!$C$7:$C$113,0),7)</f>
        <v>174.5855255813953</v>
      </c>
      <c r="H39" s="171"/>
      <c r="I39" s="123" t="s">
        <v>294</v>
      </c>
      <c r="J39" s="165"/>
      <c r="K39" s="172">
        <f t="shared" si="5"/>
        <v>0</v>
      </c>
      <c r="L39" s="173">
        <f t="shared" si="2"/>
        <v>0</v>
      </c>
      <c r="M39" s="174"/>
      <c r="N39" s="448"/>
      <c r="O39" s="448"/>
      <c r="P39" s="449"/>
      <c r="Q39" s="152">
        <f>P39-H39*VLOOKUP(C39,Unit_Rates!$C$7:$E$51,3,FALSE)</f>
        <v>0</v>
      </c>
      <c r="R39" s="134">
        <v>0</v>
      </c>
      <c r="S39" s="134">
        <v>0</v>
      </c>
      <c r="T39" s="134">
        <v>0</v>
      </c>
      <c r="U39" s="134">
        <v>0</v>
      </c>
      <c r="V39" s="134">
        <v>0</v>
      </c>
      <c r="W39" s="134">
        <v>0</v>
      </c>
      <c r="X39" s="134">
        <v>0</v>
      </c>
      <c r="Y39" s="77">
        <f t="shared" si="3"/>
        <v>0</v>
      </c>
    </row>
    <row r="40" spans="2:25" x14ac:dyDescent="0.25">
      <c r="B40" s="84"/>
      <c r="C40" s="23" t="s">
        <v>171</v>
      </c>
      <c r="D40" t="str">
        <f>INDEX(Unit_Rates!$C$7:$K$113,MATCH($C40,Unit_Rates!$C$7:$C$113,0),5)</f>
        <v>Subtransmission</v>
      </c>
      <c r="E40" t="str">
        <f>INDEX(Unit_Rates!$C$7:$K$113,MATCH($C40,Unit_Rates!$C$7:$C$113,0),6)</f>
        <v>Augmentation</v>
      </c>
      <c r="F40" t="str">
        <f t="shared" si="4"/>
        <v>SubtransmissionAugmentation</v>
      </c>
      <c r="G40" s="170">
        <f>INDEX(Unit_Rates!$C$7:$K$113,MATCH($C40,Unit_Rates!$C$7:$C$113,0),7)</f>
        <v>369.03899999999987</v>
      </c>
      <c r="H40" s="171"/>
      <c r="I40" s="123" t="s">
        <v>294</v>
      </c>
      <c r="J40" s="165"/>
      <c r="K40" s="172">
        <f t="shared" si="5"/>
        <v>0</v>
      </c>
      <c r="L40" s="173">
        <f t="shared" si="2"/>
        <v>0</v>
      </c>
      <c r="M40" s="174"/>
      <c r="N40" s="448"/>
      <c r="O40" s="448"/>
      <c r="P40" s="449"/>
      <c r="Q40" s="152">
        <f>P40-H40*VLOOKUP(C40,Unit_Rates!$C$7:$E$51,3,FALSE)</f>
        <v>0</v>
      </c>
      <c r="R40" s="134">
        <v>0</v>
      </c>
      <c r="S40" s="134">
        <v>0</v>
      </c>
      <c r="T40" s="134">
        <v>0</v>
      </c>
      <c r="U40" s="134">
        <v>0</v>
      </c>
      <c r="V40" s="134">
        <v>0</v>
      </c>
      <c r="W40" s="134">
        <v>0</v>
      </c>
      <c r="X40" s="134">
        <v>0</v>
      </c>
      <c r="Y40" s="77">
        <f t="shared" si="3"/>
        <v>0</v>
      </c>
    </row>
    <row r="41" spans="2:25" x14ac:dyDescent="0.25">
      <c r="B41" s="84"/>
      <c r="C41" s="23" t="s">
        <v>173</v>
      </c>
      <c r="D41" t="str">
        <f>INDEX(Unit_Rates!$C$7:$K$113,MATCH($C41,Unit_Rates!$C$7:$C$113,0),5)</f>
        <v>Subtransmission</v>
      </c>
      <c r="E41" t="str">
        <f>INDEX(Unit_Rates!$C$7:$K$113,MATCH($C41,Unit_Rates!$C$7:$C$113,0),6)</f>
        <v>Augmentation</v>
      </c>
      <c r="F41" t="str">
        <f t="shared" si="4"/>
        <v>SubtransmissionAugmentation</v>
      </c>
      <c r="G41" s="405">
        <v>4.4469230769230768E-2</v>
      </c>
      <c r="H41" s="171">
        <v>2600</v>
      </c>
      <c r="I41" s="123" t="s">
        <v>295</v>
      </c>
      <c r="J41" s="165"/>
      <c r="K41" s="172">
        <f t="shared" si="5"/>
        <v>115.61999999999999</v>
      </c>
      <c r="L41" s="173">
        <f t="shared" si="2"/>
        <v>0</v>
      </c>
      <c r="M41" s="174"/>
      <c r="N41" s="448"/>
      <c r="O41" s="451"/>
      <c r="P41" s="449"/>
      <c r="Q41" s="152"/>
      <c r="R41" s="134">
        <v>0</v>
      </c>
      <c r="S41" s="134">
        <v>0</v>
      </c>
      <c r="T41" s="134">
        <v>0</v>
      </c>
      <c r="U41" s="134">
        <v>0</v>
      </c>
      <c r="V41" s="134">
        <v>0</v>
      </c>
      <c r="W41" s="134">
        <v>0</v>
      </c>
      <c r="X41" s="134">
        <v>0</v>
      </c>
      <c r="Y41" s="77">
        <f t="shared" si="3"/>
        <v>0</v>
      </c>
    </row>
    <row r="42" spans="2:25" x14ac:dyDescent="0.25">
      <c r="B42" s="84"/>
      <c r="C42" s="23" t="s">
        <v>177</v>
      </c>
      <c r="D42" t="str">
        <f>INDEX(Unit_Rates!$C$7:$K$113,MATCH($C42,Unit_Rates!$C$7:$C$113,0),5)</f>
        <v>Subtransmission</v>
      </c>
      <c r="E42" t="str">
        <f>INDEX(Unit_Rates!$C$7:$K$113,MATCH($C42,Unit_Rates!$C$7:$C$113,0),6)</f>
        <v>Augmentation</v>
      </c>
      <c r="F42" t="str">
        <f t="shared" si="4"/>
        <v>SubtransmissionAugmentation</v>
      </c>
      <c r="G42" s="179">
        <f>INDEX(Unit_Rates!$C$7:$K$113,MATCH($C42,Unit_Rates!$C$7:$C$113,0),7)</f>
        <v>4.9999999999999996E-2</v>
      </c>
      <c r="H42" s="171"/>
      <c r="I42" s="123" t="s">
        <v>295</v>
      </c>
      <c r="J42" s="165"/>
      <c r="K42" s="172">
        <f t="shared" si="5"/>
        <v>0</v>
      </c>
      <c r="L42" s="173">
        <f t="shared" si="2"/>
        <v>0</v>
      </c>
      <c r="M42" s="174"/>
      <c r="N42" s="448"/>
      <c r="O42" s="448"/>
      <c r="P42" s="449"/>
      <c r="Q42" s="152">
        <f>P42-H42*VLOOKUP(C42,Unit_Rates!$C$7:$E$51,3,FALSE)</f>
        <v>0</v>
      </c>
      <c r="R42" s="134">
        <v>0</v>
      </c>
      <c r="S42" s="134">
        <v>0</v>
      </c>
      <c r="T42" s="134">
        <v>0</v>
      </c>
      <c r="U42" s="134">
        <v>0</v>
      </c>
      <c r="V42" s="134">
        <v>0</v>
      </c>
      <c r="W42" s="134">
        <v>0</v>
      </c>
      <c r="X42" s="134">
        <v>0</v>
      </c>
      <c r="Y42" s="77">
        <f t="shared" si="3"/>
        <v>0</v>
      </c>
    </row>
    <row r="43" spans="2:25" x14ac:dyDescent="0.25">
      <c r="B43" s="84"/>
      <c r="C43" s="23" t="s">
        <v>25</v>
      </c>
      <c r="D43" t="s">
        <v>3</v>
      </c>
      <c r="E43" t="s">
        <v>27</v>
      </c>
      <c r="F43" t="str">
        <f t="shared" si="4"/>
        <v>SubtransmissionAugmentation</v>
      </c>
      <c r="G43" s="170">
        <v>0.66</v>
      </c>
      <c r="H43" s="171">
        <v>4</v>
      </c>
      <c r="I43" s="123" t="s">
        <v>294</v>
      </c>
      <c r="J43" s="165"/>
      <c r="K43" s="172">
        <f t="shared" si="5"/>
        <v>2.64</v>
      </c>
      <c r="L43" s="180">
        <f t="shared" si="2"/>
        <v>0</v>
      </c>
      <c r="M43" s="174"/>
      <c r="N43" s="448"/>
      <c r="O43" s="451"/>
      <c r="P43" s="449"/>
      <c r="Q43" s="152"/>
      <c r="R43" s="134">
        <v>0</v>
      </c>
      <c r="S43" s="134">
        <v>0</v>
      </c>
      <c r="T43" s="134">
        <v>0</v>
      </c>
      <c r="U43" s="134">
        <v>0</v>
      </c>
      <c r="V43" s="134">
        <v>0</v>
      </c>
      <c r="W43" s="134">
        <v>0</v>
      </c>
      <c r="X43" s="134">
        <v>0</v>
      </c>
      <c r="Y43" s="77">
        <f t="shared" si="3"/>
        <v>0</v>
      </c>
    </row>
    <row r="44" spans="2:25" x14ac:dyDescent="0.25">
      <c r="B44" s="84"/>
      <c r="C44" s="23" t="s">
        <v>338</v>
      </c>
      <c r="D44" t="str">
        <f>INDEX(Unit_Rates!$C$7:$K$113,MATCH($C44,Unit_Rates!$C$7:$C$113,0),5)</f>
        <v>Subtransmission</v>
      </c>
      <c r="E44" t="str">
        <f>INDEX(Unit_Rates!$C$7:$K$113,MATCH($C44,Unit_Rates!$C$7:$C$113,0),6)</f>
        <v>Augmentation</v>
      </c>
      <c r="F44" t="str">
        <f t="shared" si="4"/>
        <v>SubtransmissionAugmentation</v>
      </c>
      <c r="G44" s="170">
        <f>INDEX(Unit_Rates!$C$7:$K$113,MATCH($C44,Unit_Rates!$C$7:$C$113,0),7)</f>
        <v>406.8</v>
      </c>
      <c r="H44" s="171"/>
      <c r="I44" s="123" t="s">
        <v>294</v>
      </c>
      <c r="J44" s="165"/>
      <c r="K44" s="172">
        <f t="shared" si="5"/>
        <v>0</v>
      </c>
      <c r="L44" s="180">
        <f t="shared" si="2"/>
        <v>0</v>
      </c>
      <c r="M44" s="174"/>
      <c r="N44" s="448"/>
      <c r="O44" s="448"/>
      <c r="P44" s="449"/>
      <c r="Q44" s="152">
        <f>P44-H44*VLOOKUP(C44,Unit_Rates!$C$7:$E$52,3,FALSE)</f>
        <v>0</v>
      </c>
      <c r="R44" s="127"/>
      <c r="S44" s="127"/>
      <c r="T44" s="127"/>
      <c r="U44" s="127"/>
      <c r="V44" s="127"/>
      <c r="W44" s="127"/>
      <c r="X44" s="127"/>
      <c r="Y44" s="77">
        <f t="shared" si="3"/>
        <v>0</v>
      </c>
    </row>
    <row r="45" spans="2:25" x14ac:dyDescent="0.25">
      <c r="B45" s="84"/>
      <c r="C45" s="23" t="s">
        <v>185</v>
      </c>
      <c r="D45" t="str">
        <f>INDEX(Unit_Rates!$C$7:$K$113,MATCH($C45,Unit_Rates!$C$7:$C$113,0),5)</f>
        <v>Subtransmission</v>
      </c>
      <c r="E45" t="str">
        <f>INDEX(Unit_Rates!$C$7:$K$113,MATCH($C45,Unit_Rates!$C$7:$C$113,0),6)</f>
        <v>Augmentation</v>
      </c>
      <c r="F45" t="str">
        <f t="shared" si="4"/>
        <v>SubtransmissionAugmentation</v>
      </c>
      <c r="G45" s="170">
        <f>INDEX(Unit_Rates!$C$7:$K$113,MATCH($C45,Unit_Rates!$C$7:$C$113,0),7)</f>
        <v>430</v>
      </c>
      <c r="H45" s="171">
        <v>0</v>
      </c>
      <c r="I45" s="123" t="s">
        <v>294</v>
      </c>
      <c r="J45" s="165"/>
      <c r="K45" s="172">
        <v>0</v>
      </c>
      <c r="L45" s="180">
        <f t="shared" si="2"/>
        <v>0</v>
      </c>
      <c r="M45" s="174"/>
      <c r="N45" s="448"/>
      <c r="O45" s="448"/>
      <c r="P45" s="449"/>
      <c r="Q45" s="152">
        <f>P45-H45*VLOOKUP(C45,Unit_Rates!$C$7:$E$52,3,FALSE)</f>
        <v>0</v>
      </c>
      <c r="R45" s="127"/>
      <c r="S45" s="127"/>
      <c r="T45" s="127"/>
      <c r="U45" s="127"/>
      <c r="V45" s="127"/>
      <c r="W45" s="127"/>
      <c r="X45" s="127"/>
    </row>
    <row r="46" spans="2:25" x14ac:dyDescent="0.25">
      <c r="B46" s="84"/>
      <c r="C46" s="23"/>
      <c r="G46" s="170"/>
      <c r="H46" s="171"/>
      <c r="I46" s="167"/>
      <c r="J46" s="165"/>
      <c r="K46" s="149"/>
      <c r="L46" s="167"/>
      <c r="M46" s="169"/>
      <c r="N46" s="181"/>
      <c r="O46" s="181"/>
      <c r="P46" s="371"/>
      <c r="Q46" s="152"/>
      <c r="R46" s="134">
        <v>0</v>
      </c>
      <c r="S46" s="134">
        <v>0</v>
      </c>
      <c r="T46" s="134">
        <v>0</v>
      </c>
      <c r="U46" s="134">
        <v>0</v>
      </c>
      <c r="V46" s="134">
        <v>0</v>
      </c>
      <c r="W46" s="134">
        <v>0</v>
      </c>
      <c r="X46" s="134">
        <v>0</v>
      </c>
    </row>
    <row r="47" spans="2:25" x14ac:dyDescent="0.25">
      <c r="B47" s="120" t="s">
        <v>296</v>
      </c>
      <c r="C47" s="23"/>
      <c r="G47" s="170"/>
      <c r="H47" s="171"/>
      <c r="I47" s="123"/>
      <c r="J47" s="153"/>
      <c r="K47" s="172"/>
      <c r="L47" s="172"/>
      <c r="M47" s="181"/>
      <c r="N47" s="182"/>
      <c r="O47" s="181"/>
      <c r="P47" s="293"/>
      <c r="Q47" s="152"/>
      <c r="R47" s="134">
        <v>0</v>
      </c>
      <c r="S47" s="134">
        <v>0</v>
      </c>
      <c r="T47" s="134">
        <v>0</v>
      </c>
      <c r="U47" s="134">
        <v>0</v>
      </c>
      <c r="V47" s="134">
        <v>0</v>
      </c>
      <c r="W47" s="134">
        <v>0</v>
      </c>
      <c r="X47" s="134">
        <v>0</v>
      </c>
      <c r="Y47" s="77">
        <f t="shared" ref="Y47:Y53" si="6">SUM(R47:X47)</f>
        <v>0</v>
      </c>
    </row>
    <row r="48" spans="2:25" x14ac:dyDescent="0.25">
      <c r="B48" s="84"/>
      <c r="C48" s="23" t="s">
        <v>187</v>
      </c>
      <c r="D48" t="str">
        <f>INDEX(Unit_Rates!$C$7:$K$113,MATCH($C48,Unit_Rates!$C$7:$C$113,0),5)</f>
        <v>SCADA/Network control</v>
      </c>
      <c r="E48" t="str">
        <f>INDEX(Unit_Rates!$C$7:$K$113,MATCH($C48,Unit_Rates!$C$7:$C$113,0),6)</f>
        <v>Augmentation</v>
      </c>
      <c r="F48" t="str">
        <f t="shared" ref="F48:F55" si="7">D48&amp;E48</f>
        <v>SCADA/Network controlAugmentation</v>
      </c>
      <c r="G48" s="170">
        <f>INDEX(Unit_Rates!$C$7:$K$113,MATCH($C48,Unit_Rates!$C$7:$C$113,0),7)</f>
        <v>48.982274401473298</v>
      </c>
      <c r="H48" s="171"/>
      <c r="I48" s="123" t="s">
        <v>294</v>
      </c>
      <c r="J48" s="165"/>
      <c r="K48" s="149">
        <f>G48*H48</f>
        <v>0</v>
      </c>
      <c r="L48" s="149">
        <f t="shared" ref="L48:L55" si="8">SUMPRODUCT(R$5:X$5,R48:X48)/Thousands</f>
        <v>0</v>
      </c>
      <c r="M48" s="151"/>
      <c r="N48" s="448"/>
      <c r="O48" s="448"/>
      <c r="P48" s="449"/>
      <c r="Q48" s="152">
        <f>P48-H48*VLOOKUP(C48,Unit_Rates!$C$58:$E$113,3,FALSE)</f>
        <v>0</v>
      </c>
      <c r="R48" s="134">
        <v>0</v>
      </c>
      <c r="S48" s="134">
        <v>0</v>
      </c>
      <c r="T48" s="134">
        <v>0</v>
      </c>
      <c r="U48" s="134">
        <v>0</v>
      </c>
      <c r="V48" s="134">
        <v>0</v>
      </c>
      <c r="W48" s="134">
        <v>0</v>
      </c>
      <c r="X48" s="134">
        <v>0</v>
      </c>
      <c r="Y48" s="77">
        <f t="shared" si="6"/>
        <v>0</v>
      </c>
    </row>
    <row r="49" spans="2:37" x14ac:dyDescent="0.25">
      <c r="B49" s="84"/>
      <c r="C49" s="23" t="s">
        <v>190</v>
      </c>
      <c r="D49" t="str">
        <f>INDEX(Unit_Rates!$C$7:$K$113,MATCH($C49,Unit_Rates!$C$7:$C$113,0),5)</f>
        <v>SCADA/Network control</v>
      </c>
      <c r="E49" t="str">
        <f>INDEX(Unit_Rates!$C$7:$K$113,MATCH($C49,Unit_Rates!$C$7:$C$113,0),6)</f>
        <v>Augmentation</v>
      </c>
      <c r="F49" t="str">
        <f t="shared" si="7"/>
        <v>SCADA/Network controlAugmentation</v>
      </c>
      <c r="G49" s="170">
        <f>INDEX(Unit_Rates!$C$7:$K$113,MATCH($C49,Unit_Rates!$C$7:$C$113,0),7)</f>
        <v>6.2430939226519344</v>
      </c>
      <c r="H49" s="171"/>
      <c r="I49" s="123" t="s">
        <v>294</v>
      </c>
      <c r="J49" s="165"/>
      <c r="K49" s="149">
        <f>G49*H49</f>
        <v>0</v>
      </c>
      <c r="L49" s="149">
        <f t="shared" si="8"/>
        <v>0</v>
      </c>
      <c r="M49" s="151"/>
      <c r="N49" s="448"/>
      <c r="O49" s="448"/>
      <c r="P49" s="449"/>
      <c r="Q49" s="152">
        <f>P49-H49*VLOOKUP(C49,Unit_Rates!$C$58:$E$113,3,FALSE)</f>
        <v>0</v>
      </c>
      <c r="R49" s="134">
        <v>0</v>
      </c>
      <c r="S49" s="134">
        <v>0</v>
      </c>
      <c r="T49" s="134">
        <v>0</v>
      </c>
      <c r="U49" s="134">
        <v>0</v>
      </c>
      <c r="V49" s="134">
        <v>0</v>
      </c>
      <c r="W49" s="134">
        <v>0</v>
      </c>
      <c r="X49" s="134">
        <v>0</v>
      </c>
      <c r="Y49" s="77">
        <f t="shared" si="6"/>
        <v>0</v>
      </c>
    </row>
    <row r="50" spans="2:37" x14ac:dyDescent="0.25">
      <c r="B50" s="84"/>
      <c r="C50" s="23" t="s">
        <v>192</v>
      </c>
      <c r="D50" t="str">
        <f>INDEX(Unit_Rates!$C$7:$K$113,MATCH($C50,Unit_Rates!$C$7:$C$113,0),5)</f>
        <v>SCADA/Network control</v>
      </c>
      <c r="E50" t="str">
        <f>INDEX(Unit_Rates!$C$7:$K$113,MATCH($C50,Unit_Rates!$C$7:$C$113,0),6)</f>
        <v>Augmentation</v>
      </c>
      <c r="F50" t="str">
        <f t="shared" si="7"/>
        <v>SCADA/Network controlAugmentation</v>
      </c>
      <c r="G50" s="170">
        <f>INDEX(Unit_Rates!$C$7:$K$113,MATCH($C50,Unit_Rates!$C$7:$C$113,0),7)</f>
        <v>8.6955893186003674</v>
      </c>
      <c r="H50" s="171"/>
      <c r="I50" s="123" t="s">
        <v>294</v>
      </c>
      <c r="J50" s="165"/>
      <c r="K50" s="149">
        <f t="shared" ref="K50:K52" si="9">G50*H50</f>
        <v>0</v>
      </c>
      <c r="L50" s="149">
        <f t="shared" si="8"/>
        <v>0</v>
      </c>
      <c r="M50" s="151"/>
      <c r="N50" s="448"/>
      <c r="O50" s="448"/>
      <c r="P50" s="449"/>
      <c r="Q50" s="152">
        <f>P50-H50*VLOOKUP(C50,Unit_Rates!$C$58:$E$113,3,FALSE)</f>
        <v>0</v>
      </c>
      <c r="R50" s="134">
        <v>0</v>
      </c>
      <c r="S50" s="134">
        <v>0</v>
      </c>
      <c r="T50" s="134">
        <v>0</v>
      </c>
      <c r="U50" s="134">
        <v>0</v>
      </c>
      <c r="V50" s="134">
        <v>0</v>
      </c>
      <c r="W50" s="134">
        <v>0</v>
      </c>
      <c r="X50" s="134">
        <v>0</v>
      </c>
      <c r="Y50" s="77">
        <f t="shared" si="6"/>
        <v>0</v>
      </c>
    </row>
    <row r="51" spans="2:37" x14ac:dyDescent="0.25">
      <c r="B51" s="84"/>
      <c r="C51" s="23" t="s">
        <v>193</v>
      </c>
      <c r="D51" t="str">
        <f>INDEX(Unit_Rates!$C$7:$K$113,MATCH($C51,Unit_Rates!$C$7:$C$113,0),5)</f>
        <v>SCADA/Network control</v>
      </c>
      <c r="E51" t="str">
        <f>INDEX(Unit_Rates!$C$7:$K$113,MATCH($C51,Unit_Rates!$C$7:$C$113,0),6)</f>
        <v>Augmentation</v>
      </c>
      <c r="F51" t="str">
        <f t="shared" si="7"/>
        <v>SCADA/Network controlAugmentation</v>
      </c>
      <c r="G51" s="170">
        <f>INDEX(Unit_Rates!$C$7:$K$113,MATCH($C51,Unit_Rates!$C$7:$C$113,0),7)</f>
        <v>98.007730202578273</v>
      </c>
      <c r="H51" s="171"/>
      <c r="I51" s="123" t="s">
        <v>294</v>
      </c>
      <c r="J51" s="165"/>
      <c r="K51" s="149">
        <f t="shared" si="9"/>
        <v>0</v>
      </c>
      <c r="L51" s="149">
        <f t="shared" si="8"/>
        <v>0</v>
      </c>
      <c r="M51" s="151"/>
      <c r="N51" s="448"/>
      <c r="O51" s="448"/>
      <c r="P51" s="449"/>
      <c r="Q51" s="152">
        <f>P51-H51*VLOOKUP(C51,Unit_Rates!$C$58:$E$113,3,FALSE)</f>
        <v>0</v>
      </c>
      <c r="R51" s="134">
        <v>0</v>
      </c>
      <c r="S51" s="134">
        <v>0</v>
      </c>
      <c r="T51" s="134">
        <v>0</v>
      </c>
      <c r="U51" s="134">
        <v>0</v>
      </c>
      <c r="V51" s="134">
        <v>0</v>
      </c>
      <c r="W51" s="134">
        <v>0</v>
      </c>
      <c r="X51" s="134">
        <v>0</v>
      </c>
      <c r="Y51" s="77">
        <f t="shared" si="6"/>
        <v>0</v>
      </c>
    </row>
    <row r="52" spans="2:37" x14ac:dyDescent="0.25">
      <c r="B52" s="84"/>
      <c r="C52" s="23" t="s">
        <v>297</v>
      </c>
      <c r="D52" t="s">
        <v>2</v>
      </c>
      <c r="E52" t="s">
        <v>27</v>
      </c>
      <c r="F52" t="s">
        <v>31</v>
      </c>
      <c r="G52" s="184">
        <v>4</v>
      </c>
      <c r="H52" s="171">
        <v>1</v>
      </c>
      <c r="I52" s="123" t="s">
        <v>294</v>
      </c>
      <c r="J52" s="165"/>
      <c r="K52" s="149">
        <f t="shared" si="9"/>
        <v>4</v>
      </c>
      <c r="L52" s="149">
        <f t="shared" si="8"/>
        <v>0</v>
      </c>
      <c r="M52" s="151"/>
      <c r="N52" s="448"/>
      <c r="O52" s="451"/>
      <c r="P52" s="449"/>
      <c r="Q52" s="152"/>
      <c r="R52" s="134">
        <v>0</v>
      </c>
      <c r="S52" s="134">
        <v>0</v>
      </c>
      <c r="T52" s="134">
        <v>0</v>
      </c>
      <c r="U52" s="134">
        <v>0</v>
      </c>
      <c r="V52" s="134">
        <v>0</v>
      </c>
      <c r="W52" s="134">
        <v>0</v>
      </c>
      <c r="X52" s="134">
        <v>0</v>
      </c>
      <c r="Y52" s="77">
        <f t="shared" si="6"/>
        <v>0</v>
      </c>
    </row>
    <row r="53" spans="2:37" x14ac:dyDescent="0.25">
      <c r="B53" s="84"/>
      <c r="C53" s="23" t="s">
        <v>298</v>
      </c>
      <c r="D53" t="s">
        <v>2</v>
      </c>
      <c r="E53" t="s">
        <v>27</v>
      </c>
      <c r="F53" t="str">
        <f t="shared" si="7"/>
        <v>SCADA/Network controlAugmentation</v>
      </c>
      <c r="G53" s="184">
        <v>20</v>
      </c>
      <c r="H53" s="171">
        <v>1</v>
      </c>
      <c r="I53" s="123" t="s">
        <v>294</v>
      </c>
      <c r="J53" s="165"/>
      <c r="K53" s="149">
        <f>G53*H53</f>
        <v>20</v>
      </c>
      <c r="L53" s="149">
        <f t="shared" si="8"/>
        <v>0</v>
      </c>
      <c r="M53" s="151"/>
      <c r="N53" s="448"/>
      <c r="O53" s="451"/>
      <c r="P53" s="449"/>
      <c r="Q53" s="152"/>
      <c r="R53" s="127"/>
      <c r="S53" s="127"/>
      <c r="T53" s="127"/>
      <c r="U53" s="127"/>
      <c r="V53" s="127"/>
      <c r="W53" s="127"/>
      <c r="X53" s="127"/>
      <c r="Y53" s="77">
        <f t="shared" si="6"/>
        <v>0</v>
      </c>
    </row>
    <row r="54" spans="2:37" x14ac:dyDescent="0.25">
      <c r="B54" s="120" t="s">
        <v>299</v>
      </c>
      <c r="C54" s="23"/>
      <c r="D54" t="s">
        <v>3</v>
      </c>
      <c r="E54" t="s">
        <v>27</v>
      </c>
      <c r="F54" t="str">
        <f t="shared" si="7"/>
        <v>SubtransmissionAugmentation</v>
      </c>
      <c r="G54" s="185">
        <v>54.711270796460163</v>
      </c>
      <c r="H54" s="171"/>
      <c r="I54" s="123" t="s">
        <v>294</v>
      </c>
      <c r="J54" s="165"/>
      <c r="K54" s="149">
        <f>G54*H54</f>
        <v>0</v>
      </c>
      <c r="L54" s="149">
        <f t="shared" si="8"/>
        <v>0</v>
      </c>
      <c r="M54" s="151"/>
      <c r="N54" s="448"/>
      <c r="O54" s="451"/>
      <c r="P54" s="449"/>
      <c r="Q54" s="152"/>
      <c r="R54" s="134">
        <v>0</v>
      </c>
      <c r="S54" s="134">
        <v>0</v>
      </c>
      <c r="T54" s="134">
        <v>0</v>
      </c>
      <c r="U54" s="134">
        <v>0</v>
      </c>
      <c r="V54" s="134">
        <v>0</v>
      </c>
      <c r="W54" s="134">
        <v>0</v>
      </c>
      <c r="X54" s="134">
        <v>0</v>
      </c>
    </row>
    <row r="55" spans="2:37" x14ac:dyDescent="0.25">
      <c r="B55" s="120" t="s">
        <v>346</v>
      </c>
      <c r="C55" s="23"/>
      <c r="D55" t="s">
        <v>3</v>
      </c>
      <c r="E55" t="s">
        <v>27</v>
      </c>
      <c r="F55" s="23" t="str">
        <f t="shared" si="7"/>
        <v>SubtransmissionAugmentation</v>
      </c>
      <c r="G55" s="185">
        <v>3.4830000000000001</v>
      </c>
      <c r="H55" s="171">
        <v>1</v>
      </c>
      <c r="I55" s="123" t="s">
        <v>294</v>
      </c>
      <c r="J55" s="165"/>
      <c r="K55" s="172">
        <f>G55*H55</f>
        <v>3.4830000000000001</v>
      </c>
      <c r="L55" s="172">
        <f t="shared" si="8"/>
        <v>0</v>
      </c>
      <c r="M55" s="151"/>
      <c r="N55" s="448"/>
      <c r="O55" s="451"/>
      <c r="P55" s="449"/>
      <c r="Q55" s="152"/>
      <c r="R55" s="134">
        <v>0</v>
      </c>
      <c r="S55" s="134">
        <v>0</v>
      </c>
      <c r="T55" s="134">
        <v>0</v>
      </c>
      <c r="U55" s="134">
        <v>0</v>
      </c>
      <c r="V55" s="134">
        <v>0</v>
      </c>
      <c r="W55" s="134">
        <v>0</v>
      </c>
      <c r="X55" s="134">
        <v>0</v>
      </c>
      <c r="Y55" s="304">
        <f t="shared" ref="Y55" si="10">SUM(R55:X55)</f>
        <v>0</v>
      </c>
      <c r="AK55" s="349"/>
    </row>
    <row r="56" spans="2:37" x14ac:dyDescent="0.25">
      <c r="B56" s="120" t="s">
        <v>300</v>
      </c>
      <c r="C56" s="23"/>
      <c r="G56" s="169"/>
      <c r="H56" s="186"/>
      <c r="I56" s="167"/>
      <c r="K56" s="149"/>
      <c r="L56" s="149"/>
      <c r="M56" s="168"/>
      <c r="N56" s="182"/>
      <c r="O56" s="181"/>
      <c r="P56" s="293"/>
      <c r="Q56" s="152"/>
      <c r="R56" s="134">
        <v>0</v>
      </c>
      <c r="S56" s="134">
        <v>0</v>
      </c>
      <c r="T56" s="134">
        <v>0</v>
      </c>
      <c r="U56" s="134">
        <v>0</v>
      </c>
      <c r="V56" s="134">
        <v>0</v>
      </c>
      <c r="W56" s="134">
        <v>0</v>
      </c>
      <c r="X56" s="134">
        <v>0</v>
      </c>
      <c r="Y56" s="77">
        <f t="shared" ref="Y56:Y62" si="11">SUM(R56:X56)</f>
        <v>0</v>
      </c>
    </row>
    <row r="57" spans="2:37" x14ac:dyDescent="0.25">
      <c r="B57" s="84"/>
      <c r="C57" s="23" t="s">
        <v>345</v>
      </c>
      <c r="D57" t="s">
        <v>3</v>
      </c>
      <c r="E57" t="s">
        <v>27</v>
      </c>
      <c r="F57" t="str">
        <f t="shared" ref="F57:F62" si="12">D57&amp;E57</f>
        <v>SubtransmissionAugmentation</v>
      </c>
      <c r="G57" s="185">
        <v>0</v>
      </c>
      <c r="H57" s="171">
        <v>1</v>
      </c>
      <c r="I57" s="123" t="s">
        <v>294</v>
      </c>
      <c r="K57" s="149">
        <f>G57*H57</f>
        <v>0</v>
      </c>
      <c r="L57" s="149">
        <f t="shared" ref="L57:L62" si="13">SUMPRODUCT(R$5:X$5,R57:X57)/Thousands</f>
        <v>0</v>
      </c>
      <c r="M57" s="151"/>
      <c r="N57" s="448"/>
      <c r="O57" s="451"/>
      <c r="P57" s="449"/>
      <c r="Q57" s="152"/>
      <c r="R57" s="134">
        <v>0</v>
      </c>
      <c r="S57" s="134">
        <v>0</v>
      </c>
      <c r="T57" s="134">
        <v>0</v>
      </c>
      <c r="U57" s="134">
        <v>0</v>
      </c>
      <c r="V57" s="134">
        <v>0</v>
      </c>
      <c r="W57" s="134">
        <v>0</v>
      </c>
      <c r="X57" s="134">
        <v>0</v>
      </c>
      <c r="Y57" s="77">
        <f t="shared" si="11"/>
        <v>0</v>
      </c>
    </row>
    <row r="58" spans="2:37" x14ac:dyDescent="0.25">
      <c r="B58" s="84"/>
      <c r="C58" s="23" t="s">
        <v>344</v>
      </c>
      <c r="D58" t="s">
        <v>3</v>
      </c>
      <c r="E58" t="s">
        <v>27</v>
      </c>
      <c r="F58" t="str">
        <f t="shared" ref="F58" si="14">D58&amp;E58</f>
        <v>SubtransmissionAugmentation</v>
      </c>
      <c r="G58" s="185">
        <v>0</v>
      </c>
      <c r="H58" s="171">
        <v>1</v>
      </c>
      <c r="I58" s="123" t="s">
        <v>294</v>
      </c>
      <c r="K58" s="149">
        <f>G58*H58</f>
        <v>0</v>
      </c>
      <c r="L58" s="149">
        <f t="shared" si="13"/>
        <v>0</v>
      </c>
      <c r="M58" s="151"/>
      <c r="N58" s="448"/>
      <c r="O58" s="451"/>
      <c r="P58" s="449"/>
      <c r="Q58" s="152"/>
      <c r="R58" s="134">
        <v>0</v>
      </c>
      <c r="S58" s="134">
        <v>0</v>
      </c>
      <c r="T58" s="134">
        <v>0</v>
      </c>
      <c r="U58" s="134">
        <v>0</v>
      </c>
      <c r="V58" s="134">
        <v>0</v>
      </c>
      <c r="W58" s="134">
        <v>0</v>
      </c>
      <c r="X58" s="134">
        <v>0</v>
      </c>
      <c r="Y58" s="77">
        <f t="shared" ref="Y58" si="15">SUM(R58:X58)</f>
        <v>0</v>
      </c>
    </row>
    <row r="59" spans="2:37" x14ac:dyDescent="0.25">
      <c r="B59" s="84"/>
      <c r="C59" s="23" t="s">
        <v>302</v>
      </c>
      <c r="D59" t="str">
        <f>Unit_Rates!G50</f>
        <v>Subtransmission</v>
      </c>
      <c r="E59" t="str">
        <f>Unit_Rates!H50</f>
        <v>Augmentation</v>
      </c>
      <c r="F59" t="str">
        <f t="shared" si="12"/>
        <v>SubtransmissionAugmentation</v>
      </c>
      <c r="G59" s="170">
        <f>Unit_Rates!$I$50</f>
        <v>131.39534883720927</v>
      </c>
      <c r="H59" s="171"/>
      <c r="I59" s="123" t="s">
        <v>294</v>
      </c>
      <c r="K59" s="149">
        <f>G59*H59</f>
        <v>0</v>
      </c>
      <c r="L59" s="149">
        <f t="shared" si="13"/>
        <v>0</v>
      </c>
      <c r="M59" s="151"/>
      <c r="N59" s="448"/>
      <c r="O59" s="448"/>
      <c r="P59" s="449"/>
      <c r="Q59" s="152">
        <f>P59-H59*VLOOKUP("Oil separator",Unit_Rates!$C$7:$E$51,3,FALSE)</f>
        <v>0</v>
      </c>
      <c r="R59" s="134">
        <v>0</v>
      </c>
      <c r="S59" s="134">
        <v>0</v>
      </c>
      <c r="T59" s="134">
        <v>0</v>
      </c>
      <c r="U59" s="134">
        <v>0</v>
      </c>
      <c r="V59" s="134">
        <v>0</v>
      </c>
      <c r="W59" s="134">
        <v>0</v>
      </c>
      <c r="X59" s="134">
        <v>0</v>
      </c>
      <c r="Y59" s="77">
        <f t="shared" si="11"/>
        <v>0</v>
      </c>
    </row>
    <row r="60" spans="2:37" x14ac:dyDescent="0.25">
      <c r="B60" s="84"/>
      <c r="C60" s="326" t="s">
        <v>303</v>
      </c>
      <c r="D60" t="s">
        <v>3</v>
      </c>
      <c r="E60" t="s">
        <v>27</v>
      </c>
      <c r="F60" t="str">
        <f t="shared" si="12"/>
        <v>SubtransmissionAugmentation</v>
      </c>
      <c r="G60" s="185">
        <v>0</v>
      </c>
      <c r="H60" s="171"/>
      <c r="I60" s="123" t="s">
        <v>294</v>
      </c>
      <c r="K60" s="149">
        <f>G60*H60</f>
        <v>0</v>
      </c>
      <c r="L60" s="149">
        <f t="shared" si="13"/>
        <v>0</v>
      </c>
      <c r="M60" s="151"/>
      <c r="N60" s="448"/>
      <c r="O60" s="451"/>
      <c r="P60" s="449"/>
      <c r="Q60" s="152"/>
      <c r="R60" s="134">
        <v>0</v>
      </c>
      <c r="S60" s="134">
        <v>0</v>
      </c>
      <c r="T60" s="134">
        <v>0</v>
      </c>
      <c r="U60" s="134">
        <v>0</v>
      </c>
      <c r="V60" s="134">
        <v>0</v>
      </c>
      <c r="W60" s="134">
        <v>0</v>
      </c>
      <c r="X60" s="134">
        <v>0</v>
      </c>
      <c r="Y60" s="77">
        <f t="shared" si="11"/>
        <v>0</v>
      </c>
    </row>
    <row r="61" spans="2:37" x14ac:dyDescent="0.25">
      <c r="B61" s="120" t="s">
        <v>304</v>
      </c>
      <c r="C61" s="326"/>
      <c r="D61" t="s">
        <v>3</v>
      </c>
      <c r="E61" t="s">
        <v>27</v>
      </c>
      <c r="F61" t="str">
        <f t="shared" si="12"/>
        <v>SubtransmissionAugmentation</v>
      </c>
      <c r="G61" s="170">
        <v>0</v>
      </c>
      <c r="H61" s="171">
        <v>1</v>
      </c>
      <c r="I61" s="123" t="s">
        <v>294</v>
      </c>
      <c r="K61" s="149">
        <f>G61*H61</f>
        <v>0</v>
      </c>
      <c r="L61" s="166">
        <f t="shared" si="13"/>
        <v>0</v>
      </c>
      <c r="M61" s="188"/>
      <c r="N61" s="448"/>
      <c r="O61" s="446"/>
      <c r="P61" s="449"/>
      <c r="Q61" s="152"/>
      <c r="R61" s="189"/>
      <c r="S61" s="189"/>
      <c r="T61" s="189"/>
      <c r="U61" s="189"/>
      <c r="V61" s="189"/>
      <c r="W61" s="189"/>
      <c r="X61" s="189"/>
      <c r="Y61" s="77"/>
    </row>
    <row r="62" spans="2:37" x14ac:dyDescent="0.25">
      <c r="B62" s="120" t="s">
        <v>305</v>
      </c>
      <c r="C62" s="23"/>
      <c r="D62" t="s">
        <v>4</v>
      </c>
      <c r="E62" t="s">
        <v>29</v>
      </c>
      <c r="F62" t="str">
        <f t="shared" si="12"/>
        <v>LandNon-Network</v>
      </c>
      <c r="G62" s="170">
        <v>0</v>
      </c>
      <c r="H62" s="190"/>
      <c r="I62" s="123" t="s">
        <v>294</v>
      </c>
      <c r="K62" s="166">
        <v>0</v>
      </c>
      <c r="L62" s="166">
        <f t="shared" si="13"/>
        <v>0</v>
      </c>
      <c r="M62" s="188"/>
      <c r="N62" s="448"/>
      <c r="O62" s="446"/>
      <c r="P62" s="449"/>
      <c r="Q62" s="152"/>
      <c r="R62" s="134">
        <v>0</v>
      </c>
      <c r="S62" s="134">
        <v>0</v>
      </c>
      <c r="T62" s="134">
        <v>0</v>
      </c>
      <c r="U62" s="134">
        <v>0</v>
      </c>
      <c r="V62" s="134">
        <v>0</v>
      </c>
      <c r="W62" s="134">
        <v>0</v>
      </c>
      <c r="X62" s="134">
        <v>0</v>
      </c>
      <c r="Y62" s="77">
        <f t="shared" si="11"/>
        <v>0</v>
      </c>
    </row>
    <row r="63" spans="2:37" x14ac:dyDescent="0.25">
      <c r="B63" s="84"/>
      <c r="C63" s="23"/>
      <c r="G63" s="169"/>
      <c r="H63" s="84"/>
      <c r="I63" s="167"/>
      <c r="K63" s="191"/>
      <c r="L63" s="191"/>
      <c r="M63" s="192"/>
      <c r="N63" s="192"/>
      <c r="O63" s="192"/>
      <c r="P63" s="192"/>
      <c r="X63" s="108"/>
    </row>
    <row r="64" spans="2:37" x14ac:dyDescent="0.25">
      <c r="B64" s="120" t="s">
        <v>306</v>
      </c>
      <c r="C64" s="23"/>
      <c r="G64" s="169"/>
      <c r="H64" s="84"/>
      <c r="I64" s="167"/>
      <c r="K64" s="193">
        <v>1456.193914634146</v>
      </c>
      <c r="L64" s="193">
        <v>283.38549231058158</v>
      </c>
      <c r="M64" s="194">
        <v>300</v>
      </c>
      <c r="N64" s="194">
        <v>1511.96760046446</v>
      </c>
      <c r="O64" s="194">
        <v>41.722183520209896</v>
      </c>
      <c r="P64" s="194">
        <v>3593.2691909293976</v>
      </c>
      <c r="Q64" s="406"/>
      <c r="X64" s="108"/>
    </row>
    <row r="65" spans="2:35" x14ac:dyDescent="0.25">
      <c r="B65" s="195" t="s">
        <v>307</v>
      </c>
      <c r="C65" s="327"/>
      <c r="D65" s="102"/>
      <c r="E65" s="102"/>
      <c r="F65" s="102"/>
      <c r="G65" s="196"/>
      <c r="H65" s="195"/>
      <c r="I65" s="196"/>
      <c r="J65" s="102"/>
      <c r="K65" s="197"/>
      <c r="L65" s="198"/>
      <c r="M65" s="198"/>
      <c r="N65" s="198"/>
      <c r="O65" s="198"/>
      <c r="P65" s="199"/>
      <c r="X65" s="108"/>
    </row>
    <row r="66" spans="2:35" ht="30" x14ac:dyDescent="0.25">
      <c r="B66" s="143" t="s">
        <v>308</v>
      </c>
      <c r="C66" s="324"/>
      <c r="D66" s="117"/>
      <c r="E66" s="117"/>
      <c r="F66" s="117"/>
      <c r="G66" s="200" t="s">
        <v>309</v>
      </c>
      <c r="H66" s="201" t="s">
        <v>279</v>
      </c>
      <c r="I66" s="67" t="s">
        <v>280</v>
      </c>
      <c r="J66" s="102"/>
      <c r="K66" s="67" t="s">
        <v>21</v>
      </c>
      <c r="L66" s="67" t="s">
        <v>22</v>
      </c>
      <c r="M66" s="202" t="s">
        <v>23</v>
      </c>
      <c r="N66" s="202" t="s">
        <v>24</v>
      </c>
      <c r="O66" s="68" t="s">
        <v>25</v>
      </c>
      <c r="P66" s="68" t="s">
        <v>26</v>
      </c>
      <c r="X66" s="108"/>
    </row>
    <row r="67" spans="2:35" x14ac:dyDescent="0.25">
      <c r="B67" s="120"/>
      <c r="C67" s="23"/>
      <c r="G67" s="167"/>
      <c r="H67" s="84"/>
      <c r="I67" s="167"/>
      <c r="K67" s="203"/>
      <c r="L67" s="203"/>
      <c r="M67" s="204"/>
      <c r="N67" s="204"/>
      <c r="O67" s="204"/>
      <c r="P67" s="169"/>
      <c r="X67" s="108"/>
    </row>
    <row r="68" spans="2:35" x14ac:dyDescent="0.25">
      <c r="B68" s="120" t="s">
        <v>310</v>
      </c>
      <c r="C68" s="23"/>
      <c r="G68" s="167"/>
      <c r="H68" s="84"/>
      <c r="I68" s="167"/>
      <c r="K68" s="203"/>
      <c r="L68" s="203"/>
      <c r="M68" s="204"/>
      <c r="N68" s="204"/>
      <c r="O68" s="204"/>
      <c r="P68" s="169"/>
      <c r="X68" s="108"/>
      <c r="Y68" s="77"/>
      <c r="AI68" t="s">
        <v>311</v>
      </c>
    </row>
    <row r="69" spans="2:35" x14ac:dyDescent="0.25">
      <c r="B69" s="120"/>
      <c r="C69" s="305" t="s">
        <v>312</v>
      </c>
      <c r="D69" s="108" t="str">
        <f>IF($B$3="WYK2",Unit_Rates!G119,Unit_Rates!G120)</f>
        <v>Distribution system assets</v>
      </c>
      <c r="E69" s="108" t="str">
        <f>IF($B$3="WYK2",Unit_Rates!H119,Unit_Rates!H120)</f>
        <v>Augmentation</v>
      </c>
      <c r="F69" t="str">
        <f t="shared" ref="F69:F78" si="16">D69&amp;E69</f>
        <v>Distribution system assetsAugmentation</v>
      </c>
      <c r="G69" s="170">
        <v>0</v>
      </c>
      <c r="H69" s="205">
        <v>0</v>
      </c>
      <c r="I69" s="167" t="s">
        <v>313</v>
      </c>
      <c r="J69" s="108"/>
      <c r="K69" s="170"/>
      <c r="L69" s="170">
        <f t="shared" ref="L69:L78" si="17">SUMPRODUCT(R$5:X$5,R69:X69)/Thousands</f>
        <v>0</v>
      </c>
      <c r="M69" s="170">
        <f>$H69*IF($B$3="WYK2",Unit_Rates!K119,Unit_Rates!K120)</f>
        <v>0</v>
      </c>
      <c r="N69" s="170">
        <f>$H69*IF($B$3="WYK2",Unit_Rates!L119,Unit_Rates!L120)</f>
        <v>0</v>
      </c>
      <c r="O69" s="170">
        <f>$H69*IF($B$3="WYK2",Unit_Rates!M119,Unit_Rates!M120)</f>
        <v>0</v>
      </c>
      <c r="P69" s="206">
        <f t="shared" ref="P69:P78" si="18">SUM(K69:O69)</f>
        <v>0</v>
      </c>
      <c r="Q69" s="152"/>
      <c r="R69" s="207">
        <f>$AI69*Z69*$H69</f>
        <v>0</v>
      </c>
      <c r="S69" s="207">
        <f t="shared" ref="S69:X78" si="19">$AI69*AA69*$H69</f>
        <v>0</v>
      </c>
      <c r="T69" s="207">
        <f t="shared" si="19"/>
        <v>0</v>
      </c>
      <c r="U69" s="207">
        <f t="shared" si="19"/>
        <v>0</v>
      </c>
      <c r="V69" s="207">
        <f t="shared" si="19"/>
        <v>0</v>
      </c>
      <c r="W69" s="207">
        <f t="shared" si="19"/>
        <v>0</v>
      </c>
      <c r="X69" s="207">
        <f t="shared" si="19"/>
        <v>0</v>
      </c>
      <c r="Y69" s="77">
        <f t="shared" ref="Y69:Y78" si="20">SUM(R69:X69)</f>
        <v>0</v>
      </c>
      <c r="Z69" s="6">
        <v>0.27203065134099613</v>
      </c>
      <c r="AA69" s="6">
        <v>0.72796934865900376</v>
      </c>
      <c r="AB69" s="6">
        <v>0</v>
      </c>
      <c r="AC69" s="6">
        <v>0</v>
      </c>
      <c r="AD69" s="6">
        <v>0</v>
      </c>
      <c r="AE69" s="6">
        <v>0</v>
      </c>
      <c r="AF69" s="6">
        <v>0</v>
      </c>
      <c r="AG69" s="8">
        <f>SUM(Z69:AF69)</f>
        <v>0.99999999999999989</v>
      </c>
      <c r="AH69" t="b">
        <f>AG69=1</f>
        <v>1</v>
      </c>
      <c r="AI69" s="96">
        <v>54.415307635285394</v>
      </c>
    </row>
    <row r="70" spans="2:35" x14ac:dyDescent="0.25">
      <c r="B70" s="120"/>
      <c r="C70" s="23" t="s">
        <v>212</v>
      </c>
      <c r="D70" s="108" t="str">
        <f>Unit_Rates!G121</f>
        <v>Distribution system assets</v>
      </c>
      <c r="E70" s="108" t="str">
        <f>Unit_Rates!H121</f>
        <v>Augmentation</v>
      </c>
      <c r="F70" t="str">
        <f t="shared" si="16"/>
        <v>Distribution system assetsAugmentation</v>
      </c>
      <c r="G70" s="446"/>
      <c r="H70" s="205">
        <v>0</v>
      </c>
      <c r="I70" s="167" t="s">
        <v>314</v>
      </c>
      <c r="J70" s="108"/>
      <c r="K70" s="446"/>
      <c r="L70" s="446"/>
      <c r="M70" s="446"/>
      <c r="N70" s="446"/>
      <c r="O70" s="446"/>
      <c r="P70" s="446"/>
      <c r="Q70" s="208">
        <f>P70-H70*Unit_Rates!$E$121</f>
        <v>0</v>
      </c>
      <c r="R70" s="453"/>
      <c r="S70" s="453"/>
      <c r="T70" s="453"/>
      <c r="U70" s="453"/>
      <c r="V70" s="453"/>
      <c r="W70" s="453"/>
      <c r="X70" s="453"/>
      <c r="Y70" s="454"/>
      <c r="Z70" s="6">
        <v>0</v>
      </c>
      <c r="AA70" s="6">
        <v>0.14071351127025331</v>
      </c>
      <c r="AB70" s="6">
        <v>0.24322448098123187</v>
      </c>
      <c r="AC70" s="6">
        <v>0</v>
      </c>
      <c r="AD70" s="6">
        <v>0.1760177164995757</v>
      </c>
      <c r="AE70" s="6">
        <v>0.44004429124893918</v>
      </c>
      <c r="AF70" s="6">
        <v>0</v>
      </c>
      <c r="AG70" s="8">
        <f t="shared" ref="AG70:AG74" si="21">SUM(Z70:AF70)</f>
        <v>1</v>
      </c>
      <c r="AH70" t="b">
        <f t="shared" ref="AH70:AH74" si="22">AG70=1</f>
        <v>1</v>
      </c>
      <c r="AI70" s="455"/>
    </row>
    <row r="71" spans="2:35" x14ac:dyDescent="0.25">
      <c r="B71" s="120"/>
      <c r="C71" s="23" t="s">
        <v>214</v>
      </c>
      <c r="D71" s="108" t="str">
        <f>Unit_Rates!G122</f>
        <v>Distribution system assets</v>
      </c>
      <c r="E71" s="108" t="str">
        <f>Unit_Rates!H122</f>
        <v>Augmentation</v>
      </c>
      <c r="F71" t="str">
        <f t="shared" si="16"/>
        <v>Distribution system assetsAugmentation</v>
      </c>
      <c r="G71" s="446"/>
      <c r="H71" s="205">
        <v>0</v>
      </c>
      <c r="I71" s="167" t="s">
        <v>315</v>
      </c>
      <c r="J71" s="108"/>
      <c r="K71" s="446"/>
      <c r="L71" s="446"/>
      <c r="M71" s="446"/>
      <c r="N71" s="446"/>
      <c r="O71" s="446"/>
      <c r="P71" s="446"/>
      <c r="Q71" s="208">
        <f>P71-H71*Unit_Rates!$E$122</f>
        <v>0</v>
      </c>
      <c r="R71" s="453"/>
      <c r="S71" s="453"/>
      <c r="T71" s="453"/>
      <c r="U71" s="453"/>
      <c r="V71" s="453"/>
      <c r="W71" s="453"/>
      <c r="X71" s="453"/>
      <c r="Y71" s="454"/>
      <c r="Z71" s="6">
        <v>0</v>
      </c>
      <c r="AA71" s="6">
        <v>0.11317869701862385</v>
      </c>
      <c r="AB71" s="6">
        <v>0.25101832039696309</v>
      </c>
      <c r="AC71" s="6">
        <v>0</v>
      </c>
      <c r="AD71" s="6">
        <v>0.18165799502411806</v>
      </c>
      <c r="AE71" s="6">
        <v>0.45414498756029509</v>
      </c>
      <c r="AF71" s="6">
        <v>0</v>
      </c>
      <c r="AG71" s="8">
        <f t="shared" si="21"/>
        <v>1</v>
      </c>
      <c r="AH71" t="b">
        <f t="shared" si="22"/>
        <v>1</v>
      </c>
      <c r="AI71" s="455"/>
    </row>
    <row r="72" spans="2:35" x14ac:dyDescent="0.25">
      <c r="B72" s="120"/>
      <c r="C72" s="23" t="s">
        <v>216</v>
      </c>
      <c r="D72" s="108" t="str">
        <f>Unit_Rates!G123</f>
        <v>Distribution system assets</v>
      </c>
      <c r="E72" s="108" t="str">
        <f>Unit_Rates!H123</f>
        <v>Augmentation</v>
      </c>
      <c r="F72" t="str">
        <f t="shared" si="16"/>
        <v>Distribution system assetsAugmentation</v>
      </c>
      <c r="G72" s="446"/>
      <c r="H72" s="205">
        <v>0</v>
      </c>
      <c r="I72" s="167" t="s">
        <v>316</v>
      </c>
      <c r="J72" s="108"/>
      <c r="K72" s="446"/>
      <c r="L72" s="446"/>
      <c r="M72" s="446"/>
      <c r="N72" s="446"/>
      <c r="O72" s="446"/>
      <c r="P72" s="446"/>
      <c r="Q72" s="208">
        <f>P72-H72*Unit_Rates!$E$123</f>
        <v>0</v>
      </c>
      <c r="R72" s="453"/>
      <c r="S72" s="453"/>
      <c r="T72" s="453"/>
      <c r="U72" s="453"/>
      <c r="V72" s="453"/>
      <c r="W72" s="453"/>
      <c r="X72" s="453"/>
      <c r="Y72" s="454"/>
      <c r="Z72" s="6">
        <v>0</v>
      </c>
      <c r="AA72" s="6">
        <v>0.17737095137749856</v>
      </c>
      <c r="AB72" s="6">
        <v>0.23284844579258887</v>
      </c>
      <c r="AC72" s="6">
        <v>0</v>
      </c>
      <c r="AD72" s="6">
        <v>0.16850874366568935</v>
      </c>
      <c r="AE72" s="6">
        <v>0.42127185916422333</v>
      </c>
      <c r="AF72" s="6">
        <v>0</v>
      </c>
      <c r="AG72" s="8">
        <f t="shared" si="21"/>
        <v>1</v>
      </c>
      <c r="AH72" t="b">
        <f t="shared" si="22"/>
        <v>1</v>
      </c>
      <c r="AI72" s="455"/>
    </row>
    <row r="73" spans="2:35" x14ac:dyDescent="0.25">
      <c r="B73" s="120"/>
      <c r="C73" s="23" t="s">
        <v>218</v>
      </c>
      <c r="D73" s="108" t="str">
        <f>Unit_Rates!G124</f>
        <v>Distribution system assets</v>
      </c>
      <c r="E73" s="108" t="str">
        <f>Unit_Rates!H124</f>
        <v>Augmentation</v>
      </c>
      <c r="F73" t="str">
        <f t="shared" si="16"/>
        <v>Distribution system assetsAugmentation</v>
      </c>
      <c r="G73" s="170">
        <f>Unit_Rates!I124</f>
        <v>18.133609302325581</v>
      </c>
      <c r="H73" s="205">
        <v>0</v>
      </c>
      <c r="I73" s="167" t="s">
        <v>317</v>
      </c>
      <c r="J73" s="108"/>
      <c r="K73" s="170">
        <f t="shared" ref="K73:K78" si="23">G73*H73</f>
        <v>0</v>
      </c>
      <c r="L73" s="170">
        <f t="shared" si="17"/>
        <v>0</v>
      </c>
      <c r="M73" s="170">
        <f>$H73*Unit_Rates!K124</f>
        <v>0</v>
      </c>
      <c r="N73" s="170">
        <f>$H73*Unit_Rates!L124</f>
        <v>0</v>
      </c>
      <c r="O73" s="170">
        <f>$H73*Unit_Rates!M124</f>
        <v>0</v>
      </c>
      <c r="P73" s="206">
        <f t="shared" si="18"/>
        <v>0</v>
      </c>
      <c r="Q73" s="208">
        <f>P73-H73*Unit_Rates!$E$124</f>
        <v>0</v>
      </c>
      <c r="R73" s="207">
        <f t="shared" ref="R73:R78" si="24">$AI73*Z73*$H73</f>
        <v>0</v>
      </c>
      <c r="S73" s="207">
        <f t="shared" si="19"/>
        <v>0</v>
      </c>
      <c r="T73" s="207">
        <f t="shared" si="19"/>
        <v>0</v>
      </c>
      <c r="U73" s="207">
        <f t="shared" si="19"/>
        <v>0</v>
      </c>
      <c r="V73" s="207">
        <f t="shared" si="19"/>
        <v>0</v>
      </c>
      <c r="W73" s="207">
        <f t="shared" si="19"/>
        <v>0</v>
      </c>
      <c r="X73" s="207">
        <f t="shared" si="19"/>
        <v>0</v>
      </c>
      <c r="Y73" s="77">
        <f t="shared" si="20"/>
        <v>0</v>
      </c>
      <c r="Z73" s="6">
        <v>0</v>
      </c>
      <c r="AA73" s="6">
        <v>6.9240660967474346E-2</v>
      </c>
      <c r="AB73" s="6">
        <v>0.26345515741702774</v>
      </c>
      <c r="AC73" s="6">
        <v>0</v>
      </c>
      <c r="AD73" s="6">
        <v>0.19065833760442799</v>
      </c>
      <c r="AE73" s="6">
        <v>0.47664584401106991</v>
      </c>
      <c r="AF73" s="6">
        <v>0</v>
      </c>
      <c r="AG73" s="8">
        <f t="shared" si="21"/>
        <v>1</v>
      </c>
      <c r="AH73" t="b">
        <f t="shared" si="22"/>
        <v>1</v>
      </c>
      <c r="AI73" s="97">
        <v>20.21933327091789</v>
      </c>
    </row>
    <row r="74" spans="2:35" x14ac:dyDescent="0.25">
      <c r="B74" s="120"/>
      <c r="C74" s="305" t="s">
        <v>222</v>
      </c>
      <c r="D74" s="108" t="str">
        <f>Unit_Rates!G125</f>
        <v>Distribution system assets</v>
      </c>
      <c r="E74" s="108" t="str">
        <f>Unit_Rates!H125</f>
        <v>Augmentation</v>
      </c>
      <c r="F74" t="str">
        <f t="shared" si="16"/>
        <v>Distribution system assetsAugmentation</v>
      </c>
      <c r="G74" s="170">
        <f>Unit_Rates!I125</f>
        <v>0</v>
      </c>
      <c r="H74" s="205">
        <v>0</v>
      </c>
      <c r="I74" s="167" t="s">
        <v>313</v>
      </c>
      <c r="J74" s="108"/>
      <c r="K74" s="170">
        <f t="shared" si="23"/>
        <v>0</v>
      </c>
      <c r="L74" s="170">
        <f t="shared" si="17"/>
        <v>0</v>
      </c>
      <c r="M74" s="170">
        <f>$H74*Unit_Rates!K125</f>
        <v>0</v>
      </c>
      <c r="N74" s="170">
        <f>$H74*Unit_Rates!L125</f>
        <v>0</v>
      </c>
      <c r="O74" s="170">
        <f>$H74*Unit_Rates!M125</f>
        <v>0</v>
      </c>
      <c r="P74" s="206">
        <f t="shared" si="18"/>
        <v>0</v>
      </c>
      <c r="Q74" s="208">
        <f>P74-H74*Unit_Rates!$E$125</f>
        <v>0</v>
      </c>
      <c r="R74" s="207">
        <f t="shared" si="24"/>
        <v>0</v>
      </c>
      <c r="S74" s="207">
        <f t="shared" si="19"/>
        <v>0</v>
      </c>
      <c r="T74" s="207">
        <f t="shared" si="19"/>
        <v>0</v>
      </c>
      <c r="U74" s="207">
        <f t="shared" si="19"/>
        <v>0</v>
      </c>
      <c r="V74" s="207">
        <f t="shared" si="19"/>
        <v>0</v>
      </c>
      <c r="W74" s="207">
        <f t="shared" si="19"/>
        <v>0</v>
      </c>
      <c r="X74" s="207">
        <f t="shared" si="19"/>
        <v>0</v>
      </c>
      <c r="Y74" s="77">
        <f t="shared" si="20"/>
        <v>0</v>
      </c>
      <c r="Z74" s="6">
        <v>0</v>
      </c>
      <c r="AA74" s="6">
        <v>0</v>
      </c>
      <c r="AB74" s="6">
        <v>0</v>
      </c>
      <c r="AC74" s="6">
        <v>0</v>
      </c>
      <c r="AD74" s="6">
        <v>0</v>
      </c>
      <c r="AE74" s="6">
        <v>0</v>
      </c>
      <c r="AF74" s="6">
        <v>1</v>
      </c>
      <c r="AG74" s="8">
        <f t="shared" si="21"/>
        <v>1</v>
      </c>
      <c r="AH74" t="b">
        <f t="shared" si="22"/>
        <v>1</v>
      </c>
      <c r="AI74" s="97">
        <v>46.398135736397627</v>
      </c>
    </row>
    <row r="75" spans="2:35" x14ac:dyDescent="0.25">
      <c r="B75" s="120"/>
      <c r="C75" s="433" t="s">
        <v>224</v>
      </c>
      <c r="D75" s="108" t="str">
        <f>Unit_Rates!G126</f>
        <v>Distribution system assets</v>
      </c>
      <c r="E75" s="108" t="str">
        <f>Unit_Rates!H126</f>
        <v>Replacement</v>
      </c>
      <c r="F75" t="str">
        <f t="shared" si="16"/>
        <v>Distribution system assetsReplacement</v>
      </c>
      <c r="G75" s="170">
        <f>Unit_Rates!I126</f>
        <v>0</v>
      </c>
      <c r="H75" s="205">
        <v>0</v>
      </c>
      <c r="I75" s="167" t="s">
        <v>318</v>
      </c>
      <c r="J75" s="108"/>
      <c r="K75" s="170">
        <f t="shared" si="23"/>
        <v>0</v>
      </c>
      <c r="L75" s="170">
        <f t="shared" si="17"/>
        <v>0</v>
      </c>
      <c r="M75" s="170">
        <f>$H75*Unit_Rates!K126</f>
        <v>0</v>
      </c>
      <c r="N75" s="170">
        <f>$H75*Unit_Rates!L126</f>
        <v>0</v>
      </c>
      <c r="O75" s="170">
        <f>$H75*Unit_Rates!M126</f>
        <v>0</v>
      </c>
      <c r="P75" s="206">
        <f t="shared" si="18"/>
        <v>0</v>
      </c>
      <c r="Q75" s="163">
        <f>P75-H75*Unit_Rates!$E126</f>
        <v>0</v>
      </c>
      <c r="R75" s="210"/>
      <c r="S75" s="210"/>
      <c r="T75" s="210"/>
      <c r="U75" s="210"/>
      <c r="V75" s="210"/>
      <c r="W75" s="210"/>
      <c r="X75" s="210"/>
      <c r="Y75" s="77">
        <f t="shared" si="20"/>
        <v>0</v>
      </c>
      <c r="Z75" s="6"/>
      <c r="AA75" s="6"/>
      <c r="AB75" s="6"/>
      <c r="AC75" s="6"/>
      <c r="AD75" s="6"/>
      <c r="AE75" s="6"/>
      <c r="AF75" s="6"/>
      <c r="AI75" s="97">
        <v>0</v>
      </c>
    </row>
    <row r="76" spans="2:35" x14ac:dyDescent="0.25">
      <c r="B76" s="120"/>
      <c r="C76" s="433" t="s">
        <v>226</v>
      </c>
      <c r="D76" s="108" t="str">
        <f>Unit_Rates!G127</f>
        <v>Distribution system assets</v>
      </c>
      <c r="E76" s="108" t="str">
        <f>Unit_Rates!H127</f>
        <v>Replacement</v>
      </c>
      <c r="F76" t="str">
        <f t="shared" si="16"/>
        <v>Distribution system assetsReplacement</v>
      </c>
      <c r="G76" s="170">
        <f>Unit_Rates!I127</f>
        <v>0</v>
      </c>
      <c r="H76" s="205">
        <v>0</v>
      </c>
      <c r="I76" s="167" t="s">
        <v>319</v>
      </c>
      <c r="J76" s="108"/>
      <c r="K76" s="170">
        <f t="shared" si="23"/>
        <v>0</v>
      </c>
      <c r="L76" s="170">
        <f t="shared" ref="L76" si="25">SUMPRODUCT(R$5:X$5,R76:X76)/Thousands</f>
        <v>0</v>
      </c>
      <c r="M76" s="170">
        <f>$H76*Unit_Rates!K127</f>
        <v>0</v>
      </c>
      <c r="N76" s="170">
        <f>$H76*Unit_Rates!L127</f>
        <v>0</v>
      </c>
      <c r="O76" s="170">
        <f>$H76*Unit_Rates!M127</f>
        <v>0</v>
      </c>
      <c r="P76" s="206">
        <f t="shared" ref="P76:P77" si="26">SUM(K76:O76)</f>
        <v>0</v>
      </c>
      <c r="Q76" s="208">
        <f>P76-H76*Unit_Rates!$E127</f>
        <v>0</v>
      </c>
      <c r="R76" s="207">
        <f t="shared" ref="R76:X77" si="27">$AI76*Z76*$H76</f>
        <v>0</v>
      </c>
      <c r="S76" s="207">
        <f t="shared" si="27"/>
        <v>0</v>
      </c>
      <c r="T76" s="207">
        <f t="shared" si="27"/>
        <v>0</v>
      </c>
      <c r="U76" s="207">
        <f t="shared" si="27"/>
        <v>0</v>
      </c>
      <c r="V76" s="207">
        <f t="shared" si="27"/>
        <v>0</v>
      </c>
      <c r="W76" s="207">
        <f t="shared" si="27"/>
        <v>0</v>
      </c>
      <c r="X76" s="207">
        <f t="shared" si="27"/>
        <v>0</v>
      </c>
      <c r="Y76" s="77">
        <f t="shared" si="20"/>
        <v>0</v>
      </c>
      <c r="Z76" s="6">
        <v>0</v>
      </c>
      <c r="AA76" s="6">
        <v>0</v>
      </c>
      <c r="AB76" s="6">
        <v>0</v>
      </c>
      <c r="AC76" s="6">
        <v>0</v>
      </c>
      <c r="AD76" s="6">
        <v>0</v>
      </c>
      <c r="AE76" s="6">
        <v>0</v>
      </c>
      <c r="AF76" s="6">
        <v>1</v>
      </c>
      <c r="AG76" s="8">
        <f>SUM(Z76:AF76)</f>
        <v>1</v>
      </c>
      <c r="AH76" t="b">
        <f>AG76=1</f>
        <v>1</v>
      </c>
      <c r="AI76" s="97">
        <v>1.2068965517241379</v>
      </c>
    </row>
    <row r="77" spans="2:35" x14ac:dyDescent="0.25">
      <c r="B77" s="120"/>
      <c r="C77" s="433" t="s">
        <v>228</v>
      </c>
      <c r="D77" s="108" t="str">
        <f>Unit_Rates!G128</f>
        <v>Distribution system assets</v>
      </c>
      <c r="E77" s="108" t="str">
        <f>Unit_Rates!H128</f>
        <v>Augmentation</v>
      </c>
      <c r="F77" t="str">
        <f t="shared" si="16"/>
        <v>Distribution system assetsAugmentation</v>
      </c>
      <c r="G77" s="170">
        <f>Unit_Rates!I128</f>
        <v>12.429112570356471</v>
      </c>
      <c r="H77" s="205">
        <v>0</v>
      </c>
      <c r="I77" s="167" t="s">
        <v>320</v>
      </c>
      <c r="J77" s="108"/>
      <c r="K77" s="170">
        <f t="shared" si="23"/>
        <v>0</v>
      </c>
      <c r="L77" s="170">
        <f t="shared" ref="L77" si="28">SUMPRODUCT(R$5:X$5,R77:X77)/Thousands</f>
        <v>0</v>
      </c>
      <c r="M77" s="170">
        <f>$H77*Unit_Rates!K128</f>
        <v>0</v>
      </c>
      <c r="N77" s="170">
        <f>$H77*Unit_Rates!L128</f>
        <v>0</v>
      </c>
      <c r="O77" s="170">
        <f>$H77*Unit_Rates!M128</f>
        <v>0</v>
      </c>
      <c r="P77" s="206">
        <f t="shared" si="26"/>
        <v>0</v>
      </c>
      <c r="Q77" s="163">
        <f>P77-H77*Unit_Rates!$E128</f>
        <v>0</v>
      </c>
      <c r="R77" s="207">
        <f t="shared" si="27"/>
        <v>0</v>
      </c>
      <c r="S77" s="207">
        <f t="shared" si="27"/>
        <v>0</v>
      </c>
      <c r="T77" s="207">
        <f t="shared" si="27"/>
        <v>0</v>
      </c>
      <c r="U77" s="207">
        <f t="shared" si="27"/>
        <v>0</v>
      </c>
      <c r="V77" s="207">
        <f t="shared" si="27"/>
        <v>0</v>
      </c>
      <c r="W77" s="207">
        <f t="shared" si="27"/>
        <v>0</v>
      </c>
      <c r="X77" s="207">
        <f t="shared" si="27"/>
        <v>0</v>
      </c>
      <c r="Y77" s="77">
        <f t="shared" si="20"/>
        <v>0</v>
      </c>
      <c r="Z77" s="6">
        <v>0</v>
      </c>
      <c r="AA77" s="6">
        <v>0</v>
      </c>
      <c r="AB77" s="6">
        <v>0</v>
      </c>
      <c r="AC77" s="6">
        <v>0</v>
      </c>
      <c r="AD77" s="6">
        <v>0</v>
      </c>
      <c r="AE77" s="6">
        <v>0</v>
      </c>
      <c r="AF77" s="6">
        <v>1</v>
      </c>
      <c r="AG77" s="8">
        <f>SUM(Z77:AF77)</f>
        <v>1</v>
      </c>
      <c r="AH77" t="b">
        <f>AG77=1</f>
        <v>1</v>
      </c>
      <c r="AI77" s="97">
        <v>23.021816563138394</v>
      </c>
    </row>
    <row r="78" spans="2:35" x14ac:dyDescent="0.25">
      <c r="B78" s="120"/>
      <c r="C78" s="209" t="s">
        <v>230</v>
      </c>
      <c r="D78" s="108" t="str">
        <f>Unit_Rates!G129</f>
        <v>Distribution system assets</v>
      </c>
      <c r="E78" s="108" t="str">
        <f>Unit_Rates!H129</f>
        <v>Augmentation</v>
      </c>
      <c r="F78" t="str">
        <f t="shared" si="16"/>
        <v>Distribution system assetsAugmentation</v>
      </c>
      <c r="G78" s="170">
        <f>Unit_Rates!I129</f>
        <v>22.603922249219018</v>
      </c>
      <c r="H78" s="205">
        <v>0</v>
      </c>
      <c r="I78" s="167" t="s">
        <v>321</v>
      </c>
      <c r="J78" s="108"/>
      <c r="K78" s="211">
        <f t="shared" si="23"/>
        <v>0</v>
      </c>
      <c r="L78" s="211">
        <f t="shared" si="17"/>
        <v>0</v>
      </c>
      <c r="M78" s="211">
        <f>$H78*Unit_Rates!K129</f>
        <v>0</v>
      </c>
      <c r="N78" s="211">
        <f>$H78*Unit_Rates!L129</f>
        <v>0</v>
      </c>
      <c r="O78" s="211">
        <f>$H78*Unit_Rates!M129</f>
        <v>0</v>
      </c>
      <c r="P78" s="192">
        <f t="shared" si="18"/>
        <v>0</v>
      </c>
      <c r="Q78" s="163">
        <f>P78-H78*Unit_Rates!$E129</f>
        <v>0</v>
      </c>
      <c r="R78" s="207">
        <f t="shared" si="24"/>
        <v>0</v>
      </c>
      <c r="S78" s="207">
        <f t="shared" si="19"/>
        <v>0</v>
      </c>
      <c r="T78" s="207">
        <f t="shared" si="19"/>
        <v>0</v>
      </c>
      <c r="U78" s="207">
        <f t="shared" si="19"/>
        <v>0</v>
      </c>
      <c r="V78" s="207">
        <f t="shared" si="19"/>
        <v>0</v>
      </c>
      <c r="W78" s="207">
        <f t="shared" si="19"/>
        <v>0</v>
      </c>
      <c r="X78" s="207">
        <f t="shared" si="19"/>
        <v>0</v>
      </c>
      <c r="Y78" s="77">
        <f t="shared" si="20"/>
        <v>0</v>
      </c>
      <c r="Z78" s="6">
        <v>0.30314923274650013</v>
      </c>
      <c r="AA78" s="6">
        <v>0.32449777026385929</v>
      </c>
      <c r="AB78" s="6">
        <v>0.37235299698964064</v>
      </c>
      <c r="AC78" s="6">
        <v>0</v>
      </c>
      <c r="AD78" s="6">
        <v>0</v>
      </c>
      <c r="AE78" s="6">
        <v>0</v>
      </c>
      <c r="AF78" s="6">
        <v>0</v>
      </c>
      <c r="AG78" s="8">
        <f t="shared" ref="AG78" si="29">SUM(Z78:AF78)</f>
        <v>1</v>
      </c>
      <c r="AH78" t="b">
        <f t="shared" ref="AH78" si="30">AG78=1</f>
        <v>1</v>
      </c>
      <c r="AI78" s="97">
        <v>42.965971070585908</v>
      </c>
    </row>
    <row r="79" spans="2:35" x14ac:dyDescent="0.25">
      <c r="B79" s="120"/>
      <c r="C79" t="s">
        <v>322</v>
      </c>
      <c r="G79" s="212"/>
      <c r="H79" s="122"/>
      <c r="I79" s="167"/>
      <c r="K79" s="212">
        <v>0</v>
      </c>
      <c r="L79" s="212">
        <v>0</v>
      </c>
      <c r="M79" s="170">
        <v>0</v>
      </c>
      <c r="N79" s="170">
        <v>0</v>
      </c>
      <c r="O79" s="170">
        <v>0</v>
      </c>
      <c r="P79" s="170">
        <v>0</v>
      </c>
      <c r="Q79" s="163"/>
      <c r="R79" s="127"/>
      <c r="S79" s="127"/>
      <c r="T79" s="127"/>
      <c r="U79" s="127"/>
      <c r="V79" s="127"/>
      <c r="W79" s="127"/>
      <c r="X79" s="127"/>
      <c r="AI79" s="97"/>
    </row>
    <row r="80" spans="2:35" x14ac:dyDescent="0.25">
      <c r="B80" s="120" t="s">
        <v>260</v>
      </c>
      <c r="G80" s="166"/>
      <c r="H80" s="122"/>
      <c r="I80" s="167"/>
      <c r="K80" s="212"/>
      <c r="L80" s="212"/>
      <c r="M80" s="170"/>
      <c r="N80" s="170"/>
      <c r="O80" s="170"/>
      <c r="P80" s="206"/>
      <c r="R80" s="127"/>
      <c r="S80" s="127"/>
      <c r="T80" s="127"/>
      <c r="U80" s="127"/>
      <c r="V80" s="127"/>
      <c r="W80" s="127"/>
      <c r="X80" s="127"/>
      <c r="Y80" s="77"/>
      <c r="AI80" s="97"/>
    </row>
    <row r="81" spans="2:35" x14ac:dyDescent="0.25">
      <c r="B81" s="120"/>
      <c r="C81" t="s">
        <v>323</v>
      </c>
      <c r="D81" t="str">
        <f>Unit_Rates!G137</f>
        <v>Distribution system assets</v>
      </c>
      <c r="E81" t="str">
        <f>Unit_Rates!H137</f>
        <v>Replacement</v>
      </c>
      <c r="F81" t="str">
        <f>D81&amp;E81</f>
        <v>Distribution system assetsReplacement</v>
      </c>
      <c r="G81" s="166">
        <f>Unit_Rates!I137</f>
        <v>0.37850311702696687</v>
      </c>
      <c r="H81" s="213">
        <v>0</v>
      </c>
      <c r="I81" s="123" t="s">
        <v>294</v>
      </c>
      <c r="K81" s="212">
        <f>G81*H81</f>
        <v>0</v>
      </c>
      <c r="L81" s="212">
        <f>SUMPRODUCT(R$5:X$5,R81:X81)/Thousands</f>
        <v>0</v>
      </c>
      <c r="M81" s="170">
        <f>$H81*Unit_Rates!K137</f>
        <v>0</v>
      </c>
      <c r="N81" s="170">
        <f>$H81*Unit_Rates!L137</f>
        <v>0</v>
      </c>
      <c r="O81" s="170">
        <f>$H81*Unit_Rates!M137</f>
        <v>0</v>
      </c>
      <c r="P81" s="206">
        <f>SUM(K81:O81)</f>
        <v>0</v>
      </c>
      <c r="Q81" s="152">
        <f>P81-H81*Unit_Rates!$E$137</f>
        <v>0</v>
      </c>
      <c r="R81" s="207">
        <f t="shared" ref="R81:X83" si="31">$AI81*Z81*$H81</f>
        <v>0</v>
      </c>
      <c r="S81" s="207">
        <f t="shared" si="31"/>
        <v>0</v>
      </c>
      <c r="T81" s="207">
        <f t="shared" si="31"/>
        <v>0</v>
      </c>
      <c r="U81" s="207">
        <f t="shared" si="31"/>
        <v>0</v>
      </c>
      <c r="V81" s="207">
        <f t="shared" si="31"/>
        <v>0</v>
      </c>
      <c r="W81" s="207">
        <f t="shared" si="31"/>
        <v>0</v>
      </c>
      <c r="X81" s="207">
        <f t="shared" si="31"/>
        <v>0</v>
      </c>
      <c r="Y81" s="77">
        <f t="shared" ref="Y81:Y85" si="32">SUM(R81:X81)</f>
        <v>0</v>
      </c>
      <c r="Z81" s="6">
        <v>2.5727805595989302E-2</v>
      </c>
      <c r="AA81" s="6">
        <v>0</v>
      </c>
      <c r="AB81" s="6">
        <v>0.32115728206047139</v>
      </c>
      <c r="AC81" s="6">
        <v>0</v>
      </c>
      <c r="AD81" s="6">
        <v>0</v>
      </c>
      <c r="AE81" s="6">
        <v>0</v>
      </c>
      <c r="AF81" s="6">
        <v>0.65311491234353936</v>
      </c>
      <c r="AG81" s="8">
        <f>SUM(Z81:AF81)</f>
        <v>1</v>
      </c>
      <c r="AH81" t="b">
        <f>AG81=1</f>
        <v>1</v>
      </c>
      <c r="AI81" s="97">
        <v>1.08</v>
      </c>
    </row>
    <row r="82" spans="2:35" x14ac:dyDescent="0.25">
      <c r="B82" s="120"/>
      <c r="C82" t="s">
        <v>238</v>
      </c>
      <c r="D82" t="str">
        <f>Unit_Rates!G138</f>
        <v>Distribution system assets</v>
      </c>
      <c r="E82" t="str">
        <f>Unit_Rates!H138</f>
        <v>Replacement</v>
      </c>
      <c r="F82" t="str">
        <f t="shared" ref="F82:F85" si="33">D82&amp;E82</f>
        <v>Distribution system assetsReplacement</v>
      </c>
      <c r="G82" s="212">
        <f>INDEX(Unit_Rates!$C$136:$K$141,MATCH($C82,Unit_Rates!$D$136:$D$141,0),7)</f>
        <v>0</v>
      </c>
      <c r="H82" s="213">
        <v>0</v>
      </c>
      <c r="I82" s="123" t="s">
        <v>294</v>
      </c>
      <c r="K82" s="212">
        <f>G82*H82</f>
        <v>0</v>
      </c>
      <c r="L82" s="212">
        <f>SUMPRODUCT(R$5:X$5,R82:X82)/Thousands</f>
        <v>0</v>
      </c>
      <c r="M82" s="170">
        <f>$H82*Unit_Rates!K140</f>
        <v>0</v>
      </c>
      <c r="N82" s="170">
        <f>$H82*Unit_Rates!$L$138</f>
        <v>0</v>
      </c>
      <c r="O82" s="170">
        <f>$H82*Unit_Rates!M140</f>
        <v>0</v>
      </c>
      <c r="P82" s="206">
        <f>SUM(K82:O82)</f>
        <v>0</v>
      </c>
      <c r="Q82" s="208">
        <f>P82-H82*Unit_Rates!$E$138</f>
        <v>0</v>
      </c>
      <c r="R82" s="207">
        <f t="shared" si="31"/>
        <v>0</v>
      </c>
      <c r="S82" s="207">
        <f t="shared" si="31"/>
        <v>0</v>
      </c>
      <c r="T82" s="207">
        <f t="shared" si="31"/>
        <v>0</v>
      </c>
      <c r="U82" s="207">
        <f t="shared" si="31"/>
        <v>0</v>
      </c>
      <c r="V82" s="207">
        <f t="shared" si="31"/>
        <v>0</v>
      </c>
      <c r="W82" s="207">
        <f t="shared" si="31"/>
        <v>0</v>
      </c>
      <c r="X82" s="207">
        <f t="shared" si="31"/>
        <v>0</v>
      </c>
      <c r="Y82" s="77">
        <f t="shared" si="32"/>
        <v>0</v>
      </c>
      <c r="Z82" s="6"/>
      <c r="AA82" s="6"/>
      <c r="AB82" s="6"/>
      <c r="AC82" s="6"/>
      <c r="AD82" s="6">
        <v>1</v>
      </c>
      <c r="AE82" s="6"/>
      <c r="AF82" s="6"/>
      <c r="AG82" s="8">
        <f>SUM(Z82:AF82)</f>
        <v>1</v>
      </c>
      <c r="AH82" t="b">
        <f>AG82=1</f>
        <v>1</v>
      </c>
      <c r="AI82" s="97">
        <v>1.8482467232626396</v>
      </c>
    </row>
    <row r="83" spans="2:35" x14ac:dyDescent="0.25">
      <c r="B83" s="120"/>
      <c r="C83" t="s">
        <v>239</v>
      </c>
      <c r="D83" t="str">
        <f>Unit_Rates!G139</f>
        <v>Distribution system assets</v>
      </c>
      <c r="E83" t="str">
        <f>Unit_Rates!H139</f>
        <v>Replacement</v>
      </c>
      <c r="F83" t="str">
        <f t="shared" si="33"/>
        <v>Distribution system assetsReplacement</v>
      </c>
      <c r="G83" s="212">
        <f>INDEX(Unit_Rates!$C$136:$K$141,MATCH($C83,Unit_Rates!$D$136:$D$141,0),7)</f>
        <v>0</v>
      </c>
      <c r="H83" s="213">
        <v>0</v>
      </c>
      <c r="I83" s="123" t="s">
        <v>294</v>
      </c>
      <c r="K83" s="212">
        <f t="shared" ref="K83:K85" si="34">G83*H83</f>
        <v>0</v>
      </c>
      <c r="L83" s="212">
        <f>SUMPRODUCT(R$5:X$5,R83:X83)/Thousands</f>
        <v>0</v>
      </c>
      <c r="M83" s="170"/>
      <c r="N83" s="170">
        <f>$H83*Unit_Rates!$L$139</f>
        <v>0</v>
      </c>
      <c r="O83" s="170"/>
      <c r="P83" s="206">
        <f t="shared" ref="P83:P85" si="35">SUM(K83:O83)</f>
        <v>0</v>
      </c>
      <c r="Q83" s="208">
        <f>P83-H83*Unit_Rates!$E$139</f>
        <v>0</v>
      </c>
      <c r="R83" s="207">
        <f t="shared" si="31"/>
        <v>0</v>
      </c>
      <c r="S83" s="207">
        <f t="shared" si="31"/>
        <v>0</v>
      </c>
      <c r="T83" s="207">
        <f t="shared" si="31"/>
        <v>0</v>
      </c>
      <c r="U83" s="207">
        <f t="shared" si="31"/>
        <v>0</v>
      </c>
      <c r="V83" s="207">
        <f t="shared" si="31"/>
        <v>0</v>
      </c>
      <c r="W83" s="207">
        <f t="shared" si="31"/>
        <v>0</v>
      </c>
      <c r="X83" s="207">
        <f t="shared" si="31"/>
        <v>0</v>
      </c>
      <c r="Y83" s="77">
        <f t="shared" si="32"/>
        <v>0</v>
      </c>
      <c r="Z83" s="6"/>
      <c r="AA83" s="6"/>
      <c r="AB83" s="6"/>
      <c r="AC83" s="6"/>
      <c r="AD83" s="6">
        <v>1</v>
      </c>
      <c r="AE83" s="6"/>
      <c r="AF83" s="6"/>
      <c r="AG83" s="8">
        <f>SUM(Z83:AF83)</f>
        <v>1</v>
      </c>
      <c r="AH83" t="b">
        <f>AG83=1</f>
        <v>1</v>
      </c>
      <c r="AI83" s="97">
        <v>61.608224108754577</v>
      </c>
    </row>
    <row r="84" spans="2:35" x14ac:dyDescent="0.25">
      <c r="B84" s="120"/>
      <c r="C84" t="s">
        <v>240</v>
      </c>
      <c r="D84" t="str">
        <f>Unit_Rates!G140</f>
        <v>Distribution system assets</v>
      </c>
      <c r="E84" t="str">
        <f>Unit_Rates!H140</f>
        <v>Replacement</v>
      </c>
      <c r="F84" t="str">
        <f t="shared" si="33"/>
        <v>Distribution system assetsReplacement</v>
      </c>
      <c r="G84" s="212">
        <f>INDEX(Unit_Rates!$C$136:$K$141,MATCH($C84,Unit_Rates!$D$136:$D$141,0),7)</f>
        <v>5.2025782688766116</v>
      </c>
      <c r="H84" s="213">
        <v>0</v>
      </c>
      <c r="I84" s="123" t="s">
        <v>294</v>
      </c>
      <c r="K84" s="212">
        <f t="shared" si="34"/>
        <v>0</v>
      </c>
      <c r="L84" s="212">
        <f>SUMPRODUCT(R$5:X$5,R84:X84)/Thousands</f>
        <v>0</v>
      </c>
      <c r="M84" s="170"/>
      <c r="N84" s="170">
        <f>$H84*Unit_Rates!$L$140</f>
        <v>0</v>
      </c>
      <c r="O84" s="170"/>
      <c r="P84" s="206">
        <f t="shared" si="35"/>
        <v>0</v>
      </c>
      <c r="Q84" s="163">
        <f>P84-H84*Unit_Rates!$E$140</f>
        <v>0</v>
      </c>
      <c r="R84" s="210"/>
      <c r="S84" s="210"/>
      <c r="T84" s="210"/>
      <c r="U84" s="210"/>
      <c r="V84" s="210"/>
      <c r="W84" s="210"/>
      <c r="X84" s="210"/>
      <c r="Y84" s="77">
        <f t="shared" si="32"/>
        <v>0</v>
      </c>
      <c r="Z84" s="6"/>
      <c r="AA84" s="6"/>
      <c r="AB84" s="6"/>
      <c r="AC84" s="6"/>
      <c r="AD84" s="6"/>
      <c r="AE84" s="6"/>
      <c r="AF84" s="6"/>
      <c r="AG84" s="8"/>
      <c r="AI84" s="97"/>
    </row>
    <row r="85" spans="2:35" x14ac:dyDescent="0.25">
      <c r="B85" s="120"/>
      <c r="C85" t="s">
        <v>241</v>
      </c>
      <c r="D85" t="str">
        <f>Unit_Rates!G141</f>
        <v>Distribution system assets</v>
      </c>
      <c r="E85" t="str">
        <f>Unit_Rates!H141</f>
        <v>Replacement</v>
      </c>
      <c r="F85" t="str">
        <f t="shared" si="33"/>
        <v>Distribution system assetsReplacement</v>
      </c>
      <c r="G85" s="212">
        <f>INDEX(Unit_Rates!$C$136:$K$141,MATCH($C85,Unit_Rates!$D$136:$D$141,0),7)</f>
        <v>4.9999999999999996E-2</v>
      </c>
      <c r="H85" s="213">
        <v>0</v>
      </c>
      <c r="I85" s="123" t="s">
        <v>324</v>
      </c>
      <c r="K85" s="212">
        <f t="shared" si="34"/>
        <v>0</v>
      </c>
      <c r="L85" s="212">
        <f>SUMPRODUCT(R$5:X$5,R85:X85)/Thousands</f>
        <v>0</v>
      </c>
      <c r="M85" s="170"/>
      <c r="N85" s="170">
        <f>$H85*Unit_Rates!$L$141</f>
        <v>0</v>
      </c>
      <c r="O85" s="170"/>
      <c r="P85" s="206">
        <f t="shared" si="35"/>
        <v>0</v>
      </c>
      <c r="Q85" s="163">
        <f>P85-H85*Unit_Rates!$E$141</f>
        <v>0</v>
      </c>
      <c r="R85" s="210"/>
      <c r="S85" s="210"/>
      <c r="T85" s="210"/>
      <c r="U85" s="210"/>
      <c r="V85" s="210"/>
      <c r="W85" s="210"/>
      <c r="X85" s="210"/>
      <c r="Y85" s="77">
        <f t="shared" si="32"/>
        <v>0</v>
      </c>
      <c r="Z85" s="6"/>
      <c r="AA85" s="6"/>
      <c r="AB85" s="6"/>
      <c r="AC85" s="6"/>
      <c r="AD85" s="6"/>
      <c r="AE85" s="6"/>
      <c r="AF85" s="6"/>
      <c r="AG85" s="8"/>
      <c r="AI85" s="97"/>
    </row>
    <row r="86" spans="2:35" x14ac:dyDescent="0.25">
      <c r="B86" s="120" t="s">
        <v>325</v>
      </c>
      <c r="G86" s="166"/>
      <c r="H86" s="122"/>
      <c r="I86" s="167"/>
      <c r="K86" s="212"/>
      <c r="L86" s="212"/>
      <c r="M86" s="170"/>
      <c r="N86" s="170"/>
      <c r="O86" s="170"/>
      <c r="P86" s="206"/>
      <c r="R86" s="164"/>
      <c r="S86" s="127"/>
      <c r="T86" s="127"/>
      <c r="U86" s="127"/>
      <c r="V86" s="127"/>
      <c r="W86" s="127"/>
      <c r="X86" s="127"/>
      <c r="Y86" s="77"/>
      <c r="Z86" s="6"/>
      <c r="AA86" s="6"/>
      <c r="AB86" s="6"/>
      <c r="AC86" s="6"/>
      <c r="AD86" s="6"/>
      <c r="AE86" s="6"/>
      <c r="AF86" s="6"/>
      <c r="AI86" s="97"/>
    </row>
    <row r="87" spans="2:35" x14ac:dyDescent="0.25">
      <c r="B87" s="120"/>
      <c r="C87" t="s">
        <v>245</v>
      </c>
      <c r="D87" t="str">
        <f>Unit_Rates!G147</f>
        <v>Distribution system assets</v>
      </c>
      <c r="E87" t="str">
        <f>Unit_Rates!H147</f>
        <v>Replacement</v>
      </c>
      <c r="F87" t="str">
        <f t="shared" ref="F87:F90" si="36">D87&amp;E87</f>
        <v>Distribution system assetsReplacement</v>
      </c>
      <c r="G87" s="166">
        <f>Unit_Rates!I147</f>
        <v>14.999999999999996</v>
      </c>
      <c r="H87" s="215">
        <v>0</v>
      </c>
      <c r="I87" s="123" t="s">
        <v>294</v>
      </c>
      <c r="K87" s="212">
        <f>G87*H87</f>
        <v>0</v>
      </c>
      <c r="L87" s="212">
        <f>SUMPRODUCT(R$5:X$5,R87:X87)/Thousands</f>
        <v>0</v>
      </c>
      <c r="M87" s="170">
        <f>$H87*Unit_Rates!K147</f>
        <v>0</v>
      </c>
      <c r="N87" s="170">
        <f>$H87*Unit_Rates!L147</f>
        <v>0</v>
      </c>
      <c r="O87" s="170">
        <f>$H87*Unit_Rates!M147</f>
        <v>0</v>
      </c>
      <c r="P87" s="206">
        <f>SUM(K87:O87)</f>
        <v>0</v>
      </c>
      <c r="Q87" s="152">
        <f>P87-(H87*Unit_Rates!$E$147)</f>
        <v>0</v>
      </c>
      <c r="R87" s="207">
        <f t="shared" ref="R87:X90" si="37">$AI87*Z87*$H87</f>
        <v>0</v>
      </c>
      <c r="S87" s="207">
        <f t="shared" si="37"/>
        <v>0</v>
      </c>
      <c r="T87" s="207">
        <f t="shared" si="37"/>
        <v>0</v>
      </c>
      <c r="U87" s="207">
        <f t="shared" si="37"/>
        <v>0</v>
      </c>
      <c r="V87" s="207">
        <f t="shared" si="37"/>
        <v>0</v>
      </c>
      <c r="W87" s="207">
        <f t="shared" si="37"/>
        <v>0</v>
      </c>
      <c r="X87" s="207">
        <f t="shared" si="37"/>
        <v>0</v>
      </c>
      <c r="Y87" s="77">
        <f t="shared" ref="Y87:Y95" si="38">SUM(R87:X87)</f>
        <v>0</v>
      </c>
      <c r="Z87" s="6">
        <v>0.30314923274650013</v>
      </c>
      <c r="AA87" s="6">
        <v>0.32449777026385929</v>
      </c>
      <c r="AB87" s="6">
        <v>0.37235299698964058</v>
      </c>
      <c r="AC87" s="6">
        <v>0</v>
      </c>
      <c r="AD87" s="6">
        <v>0</v>
      </c>
      <c r="AE87" s="6">
        <v>0</v>
      </c>
      <c r="AF87" s="6">
        <v>0</v>
      </c>
      <c r="AG87" s="8">
        <f t="shared" ref="AG87:AG90" si="39">SUM(Z87:AF87)</f>
        <v>1</v>
      </c>
      <c r="AH87" t="b">
        <f t="shared" ref="AH87:AH95" si="40">AG87=1</f>
        <v>1</v>
      </c>
      <c r="AI87" s="97">
        <v>14.420000000000002</v>
      </c>
    </row>
    <row r="88" spans="2:35" x14ac:dyDescent="0.25">
      <c r="B88" s="120"/>
      <c r="C88" t="s">
        <v>247</v>
      </c>
      <c r="D88" t="str">
        <f>Unit_Rates!G148</f>
        <v>Distribution system assets</v>
      </c>
      <c r="E88" t="str">
        <f>Unit_Rates!H148</f>
        <v>Replacement</v>
      </c>
      <c r="F88" t="str">
        <f t="shared" si="36"/>
        <v>Distribution system assetsReplacement</v>
      </c>
      <c r="G88" s="166">
        <f>Unit_Rates!I148</f>
        <v>22.603922249219018</v>
      </c>
      <c r="H88" s="215">
        <v>0</v>
      </c>
      <c r="I88" s="123" t="s">
        <v>294</v>
      </c>
      <c r="K88" s="212">
        <f>G88*H88</f>
        <v>0</v>
      </c>
      <c r="L88" s="212">
        <f>SUMPRODUCT(R$5:X$5,R88:X88)/Thousands</f>
        <v>0</v>
      </c>
      <c r="M88" s="170">
        <f>$H88*Unit_Rates!K148</f>
        <v>0</v>
      </c>
      <c r="N88" s="170">
        <f>$H88*Unit_Rates!L148</f>
        <v>0</v>
      </c>
      <c r="O88" s="170">
        <f>$H88*Unit_Rates!M148</f>
        <v>0</v>
      </c>
      <c r="P88" s="206">
        <f>SUM(K88:O88)</f>
        <v>0</v>
      </c>
      <c r="Q88" s="152">
        <f>P88-(H88*Unit_Rates!$E$148)</f>
        <v>0</v>
      </c>
      <c r="R88" s="207">
        <f t="shared" si="37"/>
        <v>0</v>
      </c>
      <c r="S88" s="207">
        <f t="shared" si="37"/>
        <v>0</v>
      </c>
      <c r="T88" s="207">
        <f t="shared" si="37"/>
        <v>0</v>
      </c>
      <c r="U88" s="207">
        <f t="shared" si="37"/>
        <v>0</v>
      </c>
      <c r="V88" s="207">
        <f t="shared" si="37"/>
        <v>0</v>
      </c>
      <c r="W88" s="207">
        <f t="shared" si="37"/>
        <v>0</v>
      </c>
      <c r="X88" s="207">
        <f t="shared" si="37"/>
        <v>0</v>
      </c>
      <c r="Y88" s="77">
        <f t="shared" si="38"/>
        <v>0</v>
      </c>
      <c r="Z88" s="6">
        <v>0.30314923274650013</v>
      </c>
      <c r="AA88" s="6">
        <v>0.32449777026385929</v>
      </c>
      <c r="AB88" s="6">
        <v>0.37235299698964064</v>
      </c>
      <c r="AC88" s="6">
        <v>0</v>
      </c>
      <c r="AD88" s="6">
        <v>0</v>
      </c>
      <c r="AE88" s="6">
        <v>0</v>
      </c>
      <c r="AF88" s="6">
        <v>0</v>
      </c>
      <c r="AG88" s="8">
        <f t="shared" si="39"/>
        <v>1</v>
      </c>
      <c r="AH88" t="b">
        <f t="shared" si="40"/>
        <v>1</v>
      </c>
      <c r="AI88" s="97">
        <v>42.965971070585908</v>
      </c>
    </row>
    <row r="89" spans="2:35" x14ac:dyDescent="0.25">
      <c r="B89" s="120"/>
      <c r="C89" t="s">
        <v>249</v>
      </c>
      <c r="D89" t="str">
        <f>Unit_Rates!G150</f>
        <v>Distribution system assets</v>
      </c>
      <c r="E89" t="str">
        <f>Unit_Rates!H150</f>
        <v>Replacement</v>
      </c>
      <c r="F89" t="str">
        <f t="shared" si="36"/>
        <v>Distribution system assetsReplacement</v>
      </c>
      <c r="G89" s="166">
        <f>Unit_Rates!I150</f>
        <v>15.156015503875969</v>
      </c>
      <c r="H89" s="215">
        <v>0</v>
      </c>
      <c r="I89" s="123" t="s">
        <v>294</v>
      </c>
      <c r="K89" s="212">
        <f>G89*H89</f>
        <v>0</v>
      </c>
      <c r="L89" s="212">
        <f>SUMPRODUCT(R$5:X$5,R89:X89)/Thousands</f>
        <v>0</v>
      </c>
      <c r="M89" s="170">
        <f>$H89*Unit_Rates!K150</f>
        <v>0</v>
      </c>
      <c r="N89" s="170">
        <f>$H89*Unit_Rates!L150</f>
        <v>0</v>
      </c>
      <c r="O89" s="170">
        <f>$H89*Unit_Rates!M150</f>
        <v>0</v>
      </c>
      <c r="P89" s="206">
        <f>SUM(K89:O89)</f>
        <v>0</v>
      </c>
      <c r="Q89" s="152">
        <f>P89-(H89*Unit_Rates!$E$150)</f>
        <v>0</v>
      </c>
      <c r="R89" s="207">
        <f t="shared" si="37"/>
        <v>0</v>
      </c>
      <c r="S89" s="207">
        <f t="shared" si="37"/>
        <v>0</v>
      </c>
      <c r="T89" s="207">
        <f t="shared" si="37"/>
        <v>0</v>
      </c>
      <c r="U89" s="207">
        <f t="shared" si="37"/>
        <v>0</v>
      </c>
      <c r="V89" s="207">
        <f t="shared" si="37"/>
        <v>0</v>
      </c>
      <c r="W89" s="207">
        <f t="shared" si="37"/>
        <v>0</v>
      </c>
      <c r="X89" s="207">
        <f t="shared" si="37"/>
        <v>0</v>
      </c>
      <c r="Y89" s="77">
        <f t="shared" si="38"/>
        <v>0</v>
      </c>
      <c r="Z89" s="6">
        <v>0.11818857666880556</v>
      </c>
      <c r="AA89" s="6">
        <v>0.49778875974979209</v>
      </c>
      <c r="AB89" s="6">
        <v>0.3840226635814023</v>
      </c>
      <c r="AC89" s="6">
        <v>0</v>
      </c>
      <c r="AD89" s="6">
        <v>0</v>
      </c>
      <c r="AE89" s="6">
        <v>0</v>
      </c>
      <c r="AF89" s="6">
        <v>0</v>
      </c>
      <c r="AG89" s="8">
        <f t="shared" si="39"/>
        <v>1</v>
      </c>
      <c r="AH89" t="b">
        <f t="shared" si="40"/>
        <v>1</v>
      </c>
      <c r="AI89" s="97">
        <v>144.70421211980818</v>
      </c>
    </row>
    <row r="90" spans="2:35" x14ac:dyDescent="0.25">
      <c r="B90" s="120"/>
      <c r="C90" t="s">
        <v>251</v>
      </c>
      <c r="D90" t="str">
        <f>Unit_Rates!G151</f>
        <v>Distribution system assets</v>
      </c>
      <c r="E90" t="str">
        <f>Unit_Rates!H151</f>
        <v>Replacement</v>
      </c>
      <c r="F90" t="str">
        <f t="shared" si="36"/>
        <v>Distribution system assetsReplacement</v>
      </c>
      <c r="G90" s="166">
        <f>Unit_Rates!I151</f>
        <v>193.23046251162791</v>
      </c>
      <c r="H90" s="215">
        <v>0</v>
      </c>
      <c r="I90" s="123" t="s">
        <v>294</v>
      </c>
      <c r="K90" s="212">
        <f>G90*H90</f>
        <v>0</v>
      </c>
      <c r="L90" s="212">
        <f>SUMPRODUCT(R$5:X$5,R90:X90)/Thousands</f>
        <v>0</v>
      </c>
      <c r="M90" s="170">
        <f>$H90*Unit_Rates!K151</f>
        <v>0</v>
      </c>
      <c r="N90" s="170">
        <f>$H90*Unit_Rates!L151</f>
        <v>0</v>
      </c>
      <c r="O90" s="170">
        <f>$H90*Unit_Rates!M151</f>
        <v>0</v>
      </c>
      <c r="P90" s="206">
        <f>SUM(K90:O90)</f>
        <v>0</v>
      </c>
      <c r="Q90" s="152">
        <f>P90-(H90*Unit_Rates!$E$151)</f>
        <v>0</v>
      </c>
      <c r="R90" s="207">
        <f t="shared" si="37"/>
        <v>0</v>
      </c>
      <c r="S90" s="207">
        <f t="shared" si="37"/>
        <v>0</v>
      </c>
      <c r="T90" s="207">
        <f t="shared" si="37"/>
        <v>0</v>
      </c>
      <c r="U90" s="207">
        <f t="shared" si="37"/>
        <v>0</v>
      </c>
      <c r="V90" s="207">
        <f t="shared" si="37"/>
        <v>0</v>
      </c>
      <c r="W90" s="207">
        <f t="shared" si="37"/>
        <v>0</v>
      </c>
      <c r="X90" s="207">
        <f t="shared" si="37"/>
        <v>0</v>
      </c>
      <c r="Y90" s="77">
        <f t="shared" si="38"/>
        <v>0</v>
      </c>
      <c r="Z90" s="6">
        <v>0.69942688247564233</v>
      </c>
      <c r="AA90" s="6">
        <v>4.8454943655496512E-2</v>
      </c>
      <c r="AB90" s="6">
        <v>0.25211817386886121</v>
      </c>
      <c r="AC90" s="6">
        <v>0</v>
      </c>
      <c r="AD90" s="6">
        <v>0</v>
      </c>
      <c r="AE90" s="6">
        <v>0</v>
      </c>
      <c r="AF90" s="6">
        <v>0</v>
      </c>
      <c r="AG90" s="8">
        <f t="shared" si="39"/>
        <v>1</v>
      </c>
      <c r="AH90" t="b">
        <f t="shared" si="40"/>
        <v>1</v>
      </c>
      <c r="AI90" s="97">
        <v>220.41130997006761</v>
      </c>
    </row>
    <row r="91" spans="2:35" x14ac:dyDescent="0.25">
      <c r="B91" s="120" t="s">
        <v>326</v>
      </c>
      <c r="G91" s="166"/>
      <c r="H91" s="122"/>
      <c r="I91" s="123"/>
      <c r="K91" s="212"/>
      <c r="L91" s="212"/>
      <c r="M91" s="170"/>
      <c r="N91" s="170"/>
      <c r="O91" s="170"/>
      <c r="P91" s="206"/>
      <c r="R91" s="127"/>
      <c r="S91" s="127"/>
      <c r="T91" s="127"/>
      <c r="U91" s="127"/>
      <c r="V91" s="127"/>
      <c r="W91" s="127"/>
      <c r="X91" s="127"/>
      <c r="Y91" s="77"/>
    </row>
    <row r="92" spans="2:35" x14ac:dyDescent="0.25">
      <c r="B92" s="84"/>
      <c r="C92" t="s">
        <v>327</v>
      </c>
      <c r="D92" t="str">
        <f>Unit_Rates!G157</f>
        <v>Distribution system assets</v>
      </c>
      <c r="E92" t="str">
        <f>Unit_Rates!H157</f>
        <v>Augmentation</v>
      </c>
      <c r="F92" t="str">
        <f>D92&amp;E92</f>
        <v>Distribution system assetsAugmentation</v>
      </c>
      <c r="G92" s="166">
        <f>Unit_Rates!I157</f>
        <v>0</v>
      </c>
      <c r="H92" s="213">
        <v>0</v>
      </c>
      <c r="I92" s="123" t="s">
        <v>294</v>
      </c>
      <c r="K92" s="212">
        <f>G92*H92</f>
        <v>0</v>
      </c>
      <c r="L92" s="212">
        <f>SUMPRODUCT(R$5:X$5,R92:X92)/Thousands</f>
        <v>0</v>
      </c>
      <c r="M92" s="170">
        <f>$H92*Unit_Rates!K157</f>
        <v>0</v>
      </c>
      <c r="N92" s="170">
        <f>$H92*Unit_Rates!L157</f>
        <v>0</v>
      </c>
      <c r="O92" s="170">
        <f>$H92*Unit_Rates!M157</f>
        <v>0</v>
      </c>
      <c r="P92" s="206">
        <f>SUM(K92:O92)</f>
        <v>0</v>
      </c>
      <c r="Q92" s="208">
        <f>P92-H92*Unit_Rates!$E157</f>
        <v>0</v>
      </c>
      <c r="R92" s="207">
        <f t="shared" ref="R92:X95" si="41">$AI92*Z92*$H92</f>
        <v>0</v>
      </c>
      <c r="S92" s="207">
        <f t="shared" si="41"/>
        <v>0</v>
      </c>
      <c r="T92" s="207">
        <f t="shared" si="41"/>
        <v>0</v>
      </c>
      <c r="U92" s="207">
        <f t="shared" si="41"/>
        <v>0</v>
      </c>
      <c r="V92" s="207">
        <f t="shared" si="41"/>
        <v>0</v>
      </c>
      <c r="W92" s="207">
        <f t="shared" si="41"/>
        <v>0</v>
      </c>
      <c r="X92" s="207">
        <f t="shared" si="41"/>
        <v>0</v>
      </c>
      <c r="Y92" s="77">
        <f t="shared" si="38"/>
        <v>0</v>
      </c>
      <c r="Z92" s="6">
        <v>0.18112413889844414</v>
      </c>
      <c r="AA92" s="6">
        <v>0.21477521965386426</v>
      </c>
      <c r="AB92" s="6">
        <v>0.6041006414476916</v>
      </c>
      <c r="AC92" s="6">
        <v>0</v>
      </c>
      <c r="AD92" s="6">
        <v>0</v>
      </c>
      <c r="AE92" s="6">
        <v>0</v>
      </c>
      <c r="AF92" s="6">
        <v>0</v>
      </c>
      <c r="AG92" s="8">
        <f t="shared" ref="AG92:AG95" si="42">SUM(Z92:AF92)</f>
        <v>1</v>
      </c>
      <c r="AH92" t="b">
        <f t="shared" si="40"/>
        <v>1</v>
      </c>
      <c r="AI92" s="96">
        <v>469.77670058953754</v>
      </c>
    </row>
    <row r="93" spans="2:35" x14ac:dyDescent="0.25">
      <c r="B93" s="84"/>
      <c r="C93" t="s">
        <v>328</v>
      </c>
      <c r="D93" t="str">
        <f>Unit_Rates!G158</f>
        <v>Distribution system assets</v>
      </c>
      <c r="E93" t="str">
        <f>Unit_Rates!H158</f>
        <v>Augmentation</v>
      </c>
      <c r="F93" t="str">
        <f t="shared" ref="F93:F95" si="43">D93&amp;E93</f>
        <v>Distribution system assetsAugmentation</v>
      </c>
      <c r="G93" s="166">
        <f>Unit_Rates!I158</f>
        <v>0</v>
      </c>
      <c r="H93" s="213">
        <v>0</v>
      </c>
      <c r="I93" s="123" t="s">
        <v>294</v>
      </c>
      <c r="K93" s="212">
        <f t="shared" ref="K93:K95" si="44">G93*H93</f>
        <v>0</v>
      </c>
      <c r="L93" s="212">
        <f>SUMPRODUCT(R$5:X$5,R93:X93)/Thousands</f>
        <v>0</v>
      </c>
      <c r="M93" s="170">
        <f>$H93*Unit_Rates!K158</f>
        <v>0</v>
      </c>
      <c r="N93" s="170">
        <f>$H93*Unit_Rates!L158</f>
        <v>0</v>
      </c>
      <c r="O93" s="170">
        <f>$H93*Unit_Rates!M158</f>
        <v>0</v>
      </c>
      <c r="P93" s="206">
        <f t="shared" ref="P93:P95" si="45">SUM(K93:O93)</f>
        <v>0</v>
      </c>
      <c r="Q93" s="208">
        <f>P93-H93*Unit_Rates!$E158</f>
        <v>0</v>
      </c>
      <c r="R93" s="207">
        <f t="shared" si="41"/>
        <v>0</v>
      </c>
      <c r="S93" s="207">
        <f t="shared" si="41"/>
        <v>0</v>
      </c>
      <c r="T93" s="207">
        <f t="shared" si="41"/>
        <v>0</v>
      </c>
      <c r="U93" s="207">
        <f t="shared" si="41"/>
        <v>0</v>
      </c>
      <c r="V93" s="207">
        <f t="shared" si="41"/>
        <v>0</v>
      </c>
      <c r="W93" s="207">
        <f t="shared" si="41"/>
        <v>0</v>
      </c>
      <c r="X93" s="207">
        <f t="shared" si="41"/>
        <v>0</v>
      </c>
      <c r="Y93" s="77">
        <f t="shared" si="38"/>
        <v>0</v>
      </c>
      <c r="Z93" s="6">
        <v>0.18112413889844414</v>
      </c>
      <c r="AA93" s="6">
        <v>0.42955043930772852</v>
      </c>
      <c r="AB93" s="6">
        <v>0.3893254217938274</v>
      </c>
      <c r="AC93" s="6">
        <v>0</v>
      </c>
      <c r="AD93" s="6">
        <v>0</v>
      </c>
      <c r="AE93" s="6">
        <v>0</v>
      </c>
      <c r="AF93" s="6">
        <v>0</v>
      </c>
      <c r="AG93" s="8">
        <f t="shared" si="42"/>
        <v>1</v>
      </c>
      <c r="AH93" t="b">
        <f t="shared" si="40"/>
        <v>1</v>
      </c>
      <c r="AI93" s="96">
        <v>500.15046310508262</v>
      </c>
    </row>
    <row r="94" spans="2:35" x14ac:dyDescent="0.25">
      <c r="B94" s="84"/>
      <c r="C94" t="s">
        <v>329</v>
      </c>
      <c r="D94" t="str">
        <f>Unit_Rates!G159</f>
        <v>Distribution system assets</v>
      </c>
      <c r="E94" t="str">
        <f>Unit_Rates!H159</f>
        <v>Augmentation</v>
      </c>
      <c r="F94" t="str">
        <f t="shared" si="43"/>
        <v>Distribution system assetsAugmentation</v>
      </c>
      <c r="G94" s="166">
        <f>Unit_Rates!I159</f>
        <v>0</v>
      </c>
      <c r="H94" s="213">
        <v>0</v>
      </c>
      <c r="I94" s="123" t="s">
        <v>294</v>
      </c>
      <c r="K94" s="212">
        <f t="shared" si="44"/>
        <v>0</v>
      </c>
      <c r="L94" s="212">
        <f>SUMPRODUCT(R$5:X$5,R94:X94)/Thousands</f>
        <v>0</v>
      </c>
      <c r="M94" s="170">
        <f>$H94*Unit_Rates!K159</f>
        <v>0</v>
      </c>
      <c r="N94" s="170">
        <f>$H94*Unit_Rates!L159</f>
        <v>0</v>
      </c>
      <c r="O94" s="170">
        <f>$H94*Unit_Rates!M159</f>
        <v>0</v>
      </c>
      <c r="P94" s="206">
        <f t="shared" si="45"/>
        <v>0</v>
      </c>
      <c r="Q94" s="208">
        <f>P94-H94*Unit_Rates!$E159</f>
        <v>0</v>
      </c>
      <c r="R94" s="207">
        <f t="shared" si="41"/>
        <v>0</v>
      </c>
      <c r="S94" s="207">
        <f t="shared" si="41"/>
        <v>0</v>
      </c>
      <c r="T94" s="207">
        <f t="shared" si="41"/>
        <v>0</v>
      </c>
      <c r="U94" s="207">
        <f t="shared" si="41"/>
        <v>0</v>
      </c>
      <c r="V94" s="207">
        <f t="shared" si="41"/>
        <v>0</v>
      </c>
      <c r="W94" s="207">
        <f t="shared" si="41"/>
        <v>0</v>
      </c>
      <c r="X94" s="207">
        <f t="shared" si="41"/>
        <v>0</v>
      </c>
      <c r="Y94" s="77">
        <f t="shared" si="38"/>
        <v>0</v>
      </c>
      <c r="Z94" s="6">
        <v>0.18112413889844414</v>
      </c>
      <c r="AA94" s="6">
        <v>0.42955043930772852</v>
      </c>
      <c r="AB94" s="6">
        <v>0.3893254217938274</v>
      </c>
      <c r="AC94" s="6">
        <v>0</v>
      </c>
      <c r="AD94" s="6">
        <v>0</v>
      </c>
      <c r="AE94" s="6">
        <v>0</v>
      </c>
      <c r="AF94" s="6">
        <v>0</v>
      </c>
      <c r="AG94" s="8">
        <f t="shared" si="42"/>
        <v>1</v>
      </c>
      <c r="AH94" t="b">
        <f t="shared" si="40"/>
        <v>1</v>
      </c>
      <c r="AI94" s="96">
        <v>416.11120533381393</v>
      </c>
    </row>
    <row r="95" spans="2:35" x14ac:dyDescent="0.25">
      <c r="B95" s="84"/>
      <c r="C95" t="s">
        <v>260</v>
      </c>
      <c r="D95" t="str">
        <f>Unit_Rates!G160</f>
        <v>Distribution system assets</v>
      </c>
      <c r="E95" t="str">
        <f>Unit_Rates!H160</f>
        <v>Replacement</v>
      </c>
      <c r="F95" t="str">
        <f t="shared" si="43"/>
        <v>Distribution system assetsReplacement</v>
      </c>
      <c r="G95" s="166">
        <f>Unit_Rates!I160</f>
        <v>32.740161372023131</v>
      </c>
      <c r="H95" s="213">
        <v>0</v>
      </c>
      <c r="I95" s="123" t="s">
        <v>294</v>
      </c>
      <c r="K95" s="212">
        <f t="shared" si="44"/>
        <v>0</v>
      </c>
      <c r="L95" s="212">
        <f>SUMPRODUCT(R$5:X$5,R95:X95)/Thousands</f>
        <v>0</v>
      </c>
      <c r="M95" s="170">
        <f>$H95*Unit_Rates!K160</f>
        <v>0</v>
      </c>
      <c r="N95" s="170">
        <f>$H95*Unit_Rates!L160</f>
        <v>0</v>
      </c>
      <c r="O95" s="170">
        <f>$H95*Unit_Rates!M160</f>
        <v>0</v>
      </c>
      <c r="P95" s="206">
        <f t="shared" si="45"/>
        <v>0</v>
      </c>
      <c r="Q95" s="208">
        <f>P95-H95*Unit_Rates!$E160</f>
        <v>0</v>
      </c>
      <c r="R95" s="207">
        <f t="shared" si="41"/>
        <v>0</v>
      </c>
      <c r="S95" s="207">
        <f t="shared" si="41"/>
        <v>0</v>
      </c>
      <c r="T95" s="207">
        <f t="shared" si="41"/>
        <v>0</v>
      </c>
      <c r="U95" s="207">
        <f t="shared" si="41"/>
        <v>0</v>
      </c>
      <c r="V95" s="207">
        <f t="shared" si="41"/>
        <v>0</v>
      </c>
      <c r="W95" s="207">
        <f t="shared" si="41"/>
        <v>0</v>
      </c>
      <c r="X95" s="207">
        <f t="shared" si="41"/>
        <v>0</v>
      </c>
      <c r="Y95" s="77">
        <f t="shared" si="38"/>
        <v>0</v>
      </c>
      <c r="Z95" s="6">
        <v>0.30314923274650013</v>
      </c>
      <c r="AA95" s="6">
        <v>0.32449777026385929</v>
      </c>
      <c r="AB95" s="6">
        <v>0.37235299698964064</v>
      </c>
      <c r="AC95" s="6">
        <v>0</v>
      </c>
      <c r="AD95" s="6">
        <v>0</v>
      </c>
      <c r="AE95" s="6">
        <v>0</v>
      </c>
      <c r="AF95" s="6">
        <v>0</v>
      </c>
      <c r="AG95" s="8">
        <f t="shared" si="42"/>
        <v>1</v>
      </c>
      <c r="AH95" t="b">
        <f t="shared" si="40"/>
        <v>1</v>
      </c>
      <c r="AI95" s="96">
        <v>61.06</v>
      </c>
    </row>
    <row r="96" spans="2:35" x14ac:dyDescent="0.25">
      <c r="B96" s="84"/>
      <c r="G96" s="167"/>
      <c r="H96" s="84"/>
      <c r="I96" s="167"/>
      <c r="K96" s="203"/>
      <c r="L96" s="203"/>
      <c r="M96" s="204"/>
      <c r="N96" s="204"/>
      <c r="O96" s="204"/>
      <c r="P96" s="169"/>
    </row>
    <row r="97" spans="2:28" x14ac:dyDescent="0.25">
      <c r="B97" s="120" t="s">
        <v>330</v>
      </c>
      <c r="G97" s="167"/>
      <c r="H97" s="84"/>
      <c r="I97" s="167"/>
      <c r="K97" s="193">
        <f>SUM(K79:K95)</f>
        <v>0</v>
      </c>
      <c r="L97" s="193">
        <f t="shared" ref="L97:P97" si="46">SUM(L79:L95)</f>
        <v>0</v>
      </c>
      <c r="M97" s="194">
        <f t="shared" si="46"/>
        <v>0</v>
      </c>
      <c r="N97" s="194">
        <f t="shared" si="46"/>
        <v>0</v>
      </c>
      <c r="O97" s="194">
        <f t="shared" si="46"/>
        <v>0</v>
      </c>
      <c r="P97" s="194">
        <f t="shared" si="46"/>
        <v>0</v>
      </c>
      <c r="R97" s="216"/>
      <c r="S97" s="216"/>
      <c r="T97" s="216"/>
      <c r="Z97" s="8"/>
      <c r="AA97" s="8"/>
      <c r="AB97" s="8"/>
    </row>
    <row r="98" spans="2:28" x14ac:dyDescent="0.25">
      <c r="B98" s="195" t="s">
        <v>307</v>
      </c>
      <c r="C98" s="102"/>
      <c r="D98" s="102"/>
      <c r="E98" s="102"/>
      <c r="F98" s="102"/>
      <c r="G98" s="102"/>
      <c r="H98" s="102"/>
      <c r="I98" s="102"/>
      <c r="J98" s="102"/>
      <c r="K98" s="217"/>
      <c r="L98" s="217"/>
      <c r="M98" s="217"/>
      <c r="N98" s="217"/>
      <c r="O98" s="217"/>
      <c r="P98" s="218"/>
      <c r="Q98" s="163"/>
    </row>
    <row r="99" spans="2:28" x14ac:dyDescent="0.25">
      <c r="B99" s="84"/>
      <c r="K99" s="165"/>
      <c r="L99" s="165"/>
      <c r="M99" s="219"/>
      <c r="N99" s="219"/>
      <c r="O99" s="219"/>
      <c r="P99" s="220"/>
      <c r="Z99" s="183"/>
      <c r="AA99" s="183"/>
      <c r="AB99" s="183"/>
    </row>
    <row r="100" spans="2:28" x14ac:dyDescent="0.25">
      <c r="B100" s="120" t="s">
        <v>33</v>
      </c>
      <c r="C100" s="3"/>
      <c r="D100" s="3"/>
      <c r="E100" s="3"/>
      <c r="F100" s="3"/>
      <c r="G100" s="3"/>
      <c r="H100" s="3"/>
      <c r="I100" s="3"/>
      <c r="J100" s="3"/>
      <c r="K100" s="221">
        <f>K64+K97</f>
        <v>1456.193914634146</v>
      </c>
      <c r="L100" s="221">
        <f>L64+L97</f>
        <v>283.38549231058158</v>
      </c>
      <c r="M100" s="222">
        <f t="shared" ref="M100:N100" si="47">M64+M97</f>
        <v>300</v>
      </c>
      <c r="N100" s="222">
        <f t="shared" si="47"/>
        <v>1511.96760046446</v>
      </c>
      <c r="O100" s="222">
        <f>O64+O97</f>
        <v>41.722183520209896</v>
      </c>
      <c r="P100" s="223">
        <f>P64+P97</f>
        <v>3593.2691909293976</v>
      </c>
    </row>
    <row r="101" spans="2:28" x14ac:dyDescent="0.25">
      <c r="B101" s="224" t="s">
        <v>307</v>
      </c>
      <c r="C101" s="225"/>
      <c r="D101" s="225"/>
      <c r="E101" s="225"/>
      <c r="F101" s="225"/>
      <c r="G101" s="225"/>
      <c r="H101" s="225"/>
      <c r="I101" s="225"/>
      <c r="J101" s="225"/>
      <c r="K101" s="226"/>
      <c r="L101" s="226"/>
      <c r="M101" s="227"/>
      <c r="N101" s="227"/>
      <c r="O101" s="227"/>
      <c r="P101" s="228"/>
      <c r="AB101" s="183"/>
    </row>
    <row r="104" spans="2:28" outlineLevel="1" x14ac:dyDescent="0.25">
      <c r="C104" t="s">
        <v>293</v>
      </c>
      <c r="D104" t="s">
        <v>3</v>
      </c>
      <c r="E104" t="s">
        <v>27</v>
      </c>
      <c r="F104" t="str">
        <f t="shared" ref="F104:F124" si="48">D104&amp;E104</f>
        <v>SubtransmissionAugmentation</v>
      </c>
      <c r="K104" s="4">
        <v>273.89391463414665</v>
      </c>
      <c r="L104" s="4">
        <v>0</v>
      </c>
      <c r="M104" s="229">
        <v>0</v>
      </c>
      <c r="N104" s="229">
        <v>1370.5276004644602</v>
      </c>
      <c r="O104" s="229">
        <v>40.364000000000004</v>
      </c>
      <c r="P104" s="229">
        <v>1684.785515098607</v>
      </c>
    </row>
    <row r="105" spans="2:28" outlineLevel="1" x14ac:dyDescent="0.25">
      <c r="D105" t="s">
        <v>3</v>
      </c>
      <c r="E105" t="s">
        <v>28</v>
      </c>
      <c r="F105" t="str">
        <f t="shared" si="48"/>
        <v>SubtransmissionReplacement</v>
      </c>
      <c r="K105" s="4">
        <v>0</v>
      </c>
      <c r="L105" s="4">
        <v>0</v>
      </c>
      <c r="M105" s="229">
        <v>0</v>
      </c>
      <c r="N105" s="229">
        <v>0</v>
      </c>
      <c r="O105" s="229">
        <v>0</v>
      </c>
      <c r="P105" s="229">
        <v>0</v>
      </c>
    </row>
    <row r="106" spans="2:28" outlineLevel="1" x14ac:dyDescent="0.25">
      <c r="D106" t="s">
        <v>2</v>
      </c>
      <c r="E106" t="s">
        <v>27</v>
      </c>
      <c r="F106" t="str">
        <f t="shared" si="48"/>
        <v>SCADA/Network controlAugmentation</v>
      </c>
      <c r="K106" s="4">
        <v>1182.2999999999995</v>
      </c>
      <c r="L106" s="4">
        <v>0</v>
      </c>
      <c r="M106" s="229">
        <v>0</v>
      </c>
      <c r="N106" s="229">
        <v>141.44</v>
      </c>
      <c r="O106" s="229">
        <v>1.3581835202098926</v>
      </c>
      <c r="P106" s="229">
        <v>1325.0981835202094</v>
      </c>
    </row>
    <row r="107" spans="2:28" outlineLevel="1" x14ac:dyDescent="0.25">
      <c r="D107" t="s">
        <v>2</v>
      </c>
      <c r="E107" t="s">
        <v>28</v>
      </c>
      <c r="F107" t="str">
        <f t="shared" si="48"/>
        <v>SCADA/Network controlReplacement</v>
      </c>
      <c r="K107" s="4">
        <v>0</v>
      </c>
      <c r="L107" s="4">
        <v>0</v>
      </c>
      <c r="M107" s="229">
        <v>0</v>
      </c>
      <c r="N107" s="229">
        <v>0</v>
      </c>
      <c r="O107" s="229">
        <v>0</v>
      </c>
      <c r="P107" s="229">
        <v>0</v>
      </c>
    </row>
    <row r="108" spans="2:28" outlineLevel="1" x14ac:dyDescent="0.25">
      <c r="D108" t="s">
        <v>4</v>
      </c>
      <c r="E108" t="s">
        <v>29</v>
      </c>
      <c r="F108" t="str">
        <f t="shared" si="48"/>
        <v>LandNon-Network</v>
      </c>
      <c r="K108" s="230">
        <v>0</v>
      </c>
      <c r="L108" s="230">
        <v>0</v>
      </c>
      <c r="M108" s="231">
        <v>0</v>
      </c>
      <c r="N108" s="231">
        <v>0</v>
      </c>
      <c r="O108" s="231">
        <v>0</v>
      </c>
      <c r="P108" s="231">
        <v>0</v>
      </c>
    </row>
    <row r="109" spans="2:28" outlineLevel="1" x14ac:dyDescent="0.25">
      <c r="K109" s="4">
        <v>1456.193914634146</v>
      </c>
      <c r="L109" s="4">
        <v>0</v>
      </c>
      <c r="M109" s="229">
        <v>0</v>
      </c>
      <c r="N109" s="229">
        <v>1511.9676004644602</v>
      </c>
      <c r="O109" s="229">
        <v>41.722183520209896</v>
      </c>
      <c r="P109" s="229">
        <v>3009.8836986188162</v>
      </c>
    </row>
    <row r="110" spans="2:28" outlineLevel="1" x14ac:dyDescent="0.25">
      <c r="C110" t="s">
        <v>331</v>
      </c>
      <c r="D110" t="s">
        <v>3</v>
      </c>
      <c r="E110" t="s">
        <v>27</v>
      </c>
      <c r="F110" t="str">
        <f t="shared" ref="F110:F114" si="49">D110&amp;E110</f>
        <v>SubtransmissionAugmentation</v>
      </c>
      <c r="K110" s="4"/>
      <c r="L110" s="4">
        <v>158.62532258407401</v>
      </c>
      <c r="M110" s="229">
        <v>167.9253104568518</v>
      </c>
      <c r="N110" s="229">
        <v>0</v>
      </c>
      <c r="O110" s="229"/>
      <c r="P110" s="229">
        <v>326.55063304092585</v>
      </c>
    </row>
    <row r="111" spans="2:28" outlineLevel="1" x14ac:dyDescent="0.25">
      <c r="D111" t="s">
        <v>3</v>
      </c>
      <c r="E111" t="s">
        <v>28</v>
      </c>
      <c r="F111" t="str">
        <f t="shared" si="49"/>
        <v>SubtransmissionReplacement</v>
      </c>
      <c r="K111" s="4"/>
      <c r="L111" s="232">
        <v>0</v>
      </c>
      <c r="M111" s="233">
        <v>0</v>
      </c>
      <c r="N111" s="233">
        <v>0</v>
      </c>
      <c r="O111" s="229"/>
      <c r="P111" s="229">
        <v>0</v>
      </c>
    </row>
    <row r="112" spans="2:28" outlineLevel="1" x14ac:dyDescent="0.25">
      <c r="D112" t="s">
        <v>2</v>
      </c>
      <c r="E112" t="s">
        <v>27</v>
      </c>
      <c r="F112" t="str">
        <f t="shared" si="49"/>
        <v>SCADA/Network controlAugmentation</v>
      </c>
      <c r="K112" s="4"/>
      <c r="L112" s="4">
        <v>124.7601697265076</v>
      </c>
      <c r="M112" s="229">
        <v>132.07468954314822</v>
      </c>
      <c r="N112" s="229">
        <v>0</v>
      </c>
      <c r="O112" s="229"/>
      <c r="P112" s="229">
        <v>256.83485926965579</v>
      </c>
    </row>
    <row r="113" spans="3:16" outlineLevel="1" x14ac:dyDescent="0.25">
      <c r="D113" t="s">
        <v>2</v>
      </c>
      <c r="E113" t="s">
        <v>28</v>
      </c>
      <c r="F113" t="str">
        <f t="shared" si="49"/>
        <v>SCADA/Network controlReplacement</v>
      </c>
      <c r="K113" s="4"/>
      <c r="L113" s="4">
        <v>0</v>
      </c>
      <c r="M113" s="229">
        <v>0</v>
      </c>
      <c r="N113" s="229">
        <v>0</v>
      </c>
      <c r="O113" s="229"/>
      <c r="P113" s="229">
        <v>0</v>
      </c>
    </row>
    <row r="114" spans="3:16" outlineLevel="1" x14ac:dyDescent="0.25">
      <c r="D114" t="s">
        <v>4</v>
      </c>
      <c r="E114" t="s">
        <v>29</v>
      </c>
      <c r="F114" t="str">
        <f t="shared" si="49"/>
        <v>LandNon-Network</v>
      </c>
      <c r="K114" s="230"/>
      <c r="L114" s="230">
        <v>0</v>
      </c>
      <c r="M114" s="231">
        <v>0</v>
      </c>
      <c r="N114" s="231">
        <v>0</v>
      </c>
      <c r="O114" s="231"/>
      <c r="P114" s="231">
        <v>0</v>
      </c>
    </row>
    <row r="115" spans="3:16" outlineLevel="1" x14ac:dyDescent="0.25">
      <c r="K115" s="4">
        <v>0</v>
      </c>
      <c r="L115" s="4">
        <v>283.38549231058164</v>
      </c>
      <c r="M115" s="229">
        <v>300</v>
      </c>
      <c r="N115" s="229">
        <v>0</v>
      </c>
      <c r="O115" s="229">
        <v>0</v>
      </c>
      <c r="P115" s="229">
        <v>583.38549231058164</v>
      </c>
    </row>
    <row r="116" spans="3:16" outlineLevel="1" x14ac:dyDescent="0.25">
      <c r="C116" t="s">
        <v>332</v>
      </c>
      <c r="D116" t="s">
        <v>3</v>
      </c>
      <c r="E116" t="s">
        <v>27</v>
      </c>
      <c r="F116" t="str">
        <f t="shared" ref="F116:F120" si="50">D116&amp;E116</f>
        <v>SubtransmissionAugmentation</v>
      </c>
      <c r="K116" s="4">
        <v>273.89391463414665</v>
      </c>
      <c r="L116" s="4">
        <v>158.62532258407401</v>
      </c>
      <c r="M116" s="229">
        <v>167.9253104568518</v>
      </c>
      <c r="N116" s="229">
        <v>1370.5276004644602</v>
      </c>
      <c r="O116" s="229">
        <v>40.364000000000004</v>
      </c>
      <c r="P116" s="233">
        <v>2011.3361481395327</v>
      </c>
    </row>
    <row r="117" spans="3:16" outlineLevel="1" x14ac:dyDescent="0.25">
      <c r="D117" t="s">
        <v>3</v>
      </c>
      <c r="E117" t="s">
        <v>28</v>
      </c>
      <c r="F117" t="str">
        <f t="shared" si="50"/>
        <v>SubtransmissionReplacement</v>
      </c>
      <c r="K117" s="4">
        <v>0</v>
      </c>
      <c r="L117" s="4">
        <v>0</v>
      </c>
      <c r="M117" s="229">
        <v>0</v>
      </c>
      <c r="N117" s="229">
        <v>0</v>
      </c>
      <c r="O117" s="229">
        <v>0</v>
      </c>
      <c r="P117" s="233">
        <v>0</v>
      </c>
    </row>
    <row r="118" spans="3:16" outlineLevel="1" x14ac:dyDescent="0.25">
      <c r="D118" t="s">
        <v>2</v>
      </c>
      <c r="E118" t="s">
        <v>27</v>
      </c>
      <c r="F118" t="str">
        <f t="shared" si="50"/>
        <v>SCADA/Network controlAugmentation</v>
      </c>
      <c r="K118" s="4">
        <v>1182.2999999999995</v>
      </c>
      <c r="L118" s="4">
        <v>124.7601697265076</v>
      </c>
      <c r="M118" s="229">
        <v>132.07468954314822</v>
      </c>
      <c r="N118" s="229">
        <v>141.44</v>
      </c>
      <c r="O118" s="229">
        <v>1.3581835202098926</v>
      </c>
      <c r="P118" s="229">
        <v>1581.9330427898653</v>
      </c>
    </row>
    <row r="119" spans="3:16" outlineLevel="1" x14ac:dyDescent="0.25">
      <c r="D119" t="s">
        <v>2</v>
      </c>
      <c r="E119" t="s">
        <v>28</v>
      </c>
      <c r="F119" t="str">
        <f t="shared" si="50"/>
        <v>SCADA/Network controlReplacement</v>
      </c>
      <c r="K119" s="4">
        <v>0</v>
      </c>
      <c r="L119" s="4">
        <v>0</v>
      </c>
      <c r="M119" s="229">
        <v>0</v>
      </c>
      <c r="N119" s="229">
        <v>0</v>
      </c>
      <c r="O119" s="229">
        <v>0</v>
      </c>
      <c r="P119" s="229">
        <v>0</v>
      </c>
    </row>
    <row r="120" spans="3:16" outlineLevel="1" x14ac:dyDescent="0.25">
      <c r="D120" t="s">
        <v>4</v>
      </c>
      <c r="E120" t="s">
        <v>29</v>
      </c>
      <c r="F120" t="str">
        <f t="shared" si="50"/>
        <v>LandNon-Network</v>
      </c>
      <c r="K120" s="230">
        <v>0</v>
      </c>
      <c r="L120" s="230">
        <v>0</v>
      </c>
      <c r="M120" s="231">
        <v>0</v>
      </c>
      <c r="N120" s="231">
        <v>0</v>
      </c>
      <c r="O120" s="231">
        <v>0</v>
      </c>
      <c r="P120" s="231">
        <v>0</v>
      </c>
    </row>
    <row r="121" spans="3:16" outlineLevel="1" x14ac:dyDescent="0.25">
      <c r="K121" s="4">
        <v>1456.193914634146</v>
      </c>
      <c r="L121" s="4">
        <v>283.38549231058164</v>
      </c>
      <c r="M121" s="229">
        <v>300</v>
      </c>
      <c r="N121" s="229">
        <v>1511.9676004644602</v>
      </c>
      <c r="O121" s="229">
        <v>41.722183520209896</v>
      </c>
      <c r="P121" s="229">
        <v>3593.2691909293981</v>
      </c>
    </row>
    <row r="122" spans="3:16" outlineLevel="1" x14ac:dyDescent="0.25">
      <c r="K122" s="97">
        <v>0</v>
      </c>
      <c r="L122" s="97">
        <v>0</v>
      </c>
      <c r="M122" s="234">
        <v>0</v>
      </c>
      <c r="N122" s="234">
        <v>0</v>
      </c>
      <c r="O122" s="234">
        <v>0</v>
      </c>
      <c r="P122" s="234">
        <v>0</v>
      </c>
    </row>
    <row r="123" spans="3:16" outlineLevel="1" x14ac:dyDescent="0.25">
      <c r="C123" t="s">
        <v>310</v>
      </c>
      <c r="D123" t="s">
        <v>92</v>
      </c>
      <c r="E123" t="s">
        <v>27</v>
      </c>
      <c r="F123" t="str">
        <f t="shared" si="48"/>
        <v>Distribution system assetsAugmentation</v>
      </c>
      <c r="K123" s="4">
        <v>0</v>
      </c>
      <c r="L123" s="4">
        <v>0</v>
      </c>
      <c r="M123" s="229">
        <v>0</v>
      </c>
      <c r="N123" s="229">
        <v>0</v>
      </c>
      <c r="O123" s="229">
        <v>0</v>
      </c>
      <c r="P123" s="229">
        <v>0</v>
      </c>
    </row>
    <row r="124" spans="3:16" outlineLevel="1" x14ac:dyDescent="0.25">
      <c r="D124" t="s">
        <v>92</v>
      </c>
      <c r="E124" t="s">
        <v>28</v>
      </c>
      <c r="F124" t="str">
        <f t="shared" si="48"/>
        <v>Distribution system assetsReplacement</v>
      </c>
      <c r="K124" s="230">
        <v>0</v>
      </c>
      <c r="L124" s="230">
        <v>0</v>
      </c>
      <c r="M124" s="231">
        <v>0</v>
      </c>
      <c r="N124" s="231">
        <v>0</v>
      </c>
      <c r="O124" s="231">
        <v>0</v>
      </c>
      <c r="P124" s="231">
        <v>0</v>
      </c>
    </row>
    <row r="125" spans="3:16" outlineLevel="1" x14ac:dyDescent="0.25">
      <c r="K125" s="77">
        <v>0</v>
      </c>
      <c r="L125" s="77">
        <v>0</v>
      </c>
      <c r="M125" s="208">
        <v>0</v>
      </c>
      <c r="N125" s="208">
        <v>0</v>
      </c>
      <c r="O125" s="208">
        <v>0</v>
      </c>
      <c r="P125" s="208">
        <v>0</v>
      </c>
    </row>
    <row r="126" spans="3:16" outlineLevel="1" x14ac:dyDescent="0.25">
      <c r="K126" s="235">
        <f>K125-K79</f>
        <v>0</v>
      </c>
      <c r="L126" s="235">
        <f t="shared" ref="L126:P126" si="51">L125-L79</f>
        <v>0</v>
      </c>
      <c r="M126" s="152">
        <f t="shared" si="51"/>
        <v>0</v>
      </c>
      <c r="N126" s="152">
        <f t="shared" si="51"/>
        <v>0</v>
      </c>
      <c r="O126" s="152">
        <f t="shared" si="51"/>
        <v>0</v>
      </c>
      <c r="P126" s="152">
        <f t="shared" si="51"/>
        <v>0</v>
      </c>
    </row>
  </sheetData>
  <mergeCells count="3">
    <mergeCell ref="G3:I3"/>
    <mergeCell ref="K3:P3"/>
    <mergeCell ref="R3:X3"/>
  </mergeCells>
  <pageMargins left="0.25" right="0.25" top="0.75" bottom="0.75" header="0.3" footer="0.3"/>
  <pageSetup paperSize="9" scale="65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21</vt:i4>
      </vt:variant>
    </vt:vector>
  </HeadingPairs>
  <TitlesOfParts>
    <vt:vector size="39" baseType="lpstr">
      <vt:lpstr>All works</vt:lpstr>
      <vt:lpstr>Summary</vt:lpstr>
      <vt:lpstr>Phasing</vt:lpstr>
      <vt:lpstr>Spare_Det</vt:lpstr>
      <vt:lpstr>WOTS_Det</vt:lpstr>
      <vt:lpstr>BDL_Det</vt:lpstr>
      <vt:lpstr>ELM_Det</vt:lpstr>
      <vt:lpstr>RWN_Det</vt:lpstr>
      <vt:lpstr>KMS_Det</vt:lpstr>
      <vt:lpstr>WGI_Det</vt:lpstr>
      <vt:lpstr>BGE_Det</vt:lpstr>
      <vt:lpstr>LDL_Det</vt:lpstr>
      <vt:lpstr>Single GFN costs</vt:lpstr>
      <vt:lpstr>Unit_Rates</vt:lpstr>
      <vt:lpstr>Unit_Rates - $2015</vt:lpstr>
      <vt:lpstr>Escalators</vt:lpstr>
      <vt:lpstr>Lab_Rates</vt:lpstr>
      <vt:lpstr>Rpt_Cat</vt:lpstr>
      <vt:lpstr>BDL_Det!Print_Area</vt:lpstr>
      <vt:lpstr>BGE_Det!Print_Area</vt:lpstr>
      <vt:lpstr>ELM_Det!Print_Area</vt:lpstr>
      <vt:lpstr>KMS_Det!Print_Area</vt:lpstr>
      <vt:lpstr>LDL_Det!Print_Area</vt:lpstr>
      <vt:lpstr>RWN_Det!Print_Area</vt:lpstr>
      <vt:lpstr>'Single GFN costs'!Print_Area</vt:lpstr>
      <vt:lpstr>Spare_Det!Print_Area</vt:lpstr>
      <vt:lpstr>WGI_Det!Print_Area</vt:lpstr>
      <vt:lpstr>WOTS_Det!Print_Area</vt:lpstr>
      <vt:lpstr>STN_1</vt:lpstr>
      <vt:lpstr>STN_10</vt:lpstr>
      <vt:lpstr>STN_2</vt:lpstr>
      <vt:lpstr>STN_3</vt:lpstr>
      <vt:lpstr>STN_4</vt:lpstr>
      <vt:lpstr>STN_5</vt:lpstr>
      <vt:lpstr>STN_6</vt:lpstr>
      <vt:lpstr>STN_7</vt:lpstr>
      <vt:lpstr>STN_8</vt:lpstr>
      <vt:lpstr>STN_9</vt:lpstr>
      <vt:lpstr>Thousands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2020-12-10T20:06:11Z</dcterms:created>
  <dcterms:modified xsi:type="dcterms:W3CDTF">2020-12-10T20:06:15Z</dcterms:modified>
</cp:coreProperties>
</file>