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600" windowHeight="11640" activeTab="5"/>
  </bookViews>
  <sheets>
    <sheet name="Summary " sheetId="11" r:id="rId1"/>
    <sheet name="CAD" sheetId="8" r:id="rId2"/>
    <sheet name="CRP" sheetId="5" r:id="rId3"/>
    <sheet name="MC" sheetId="12" r:id="rId4"/>
    <sheet name="SMP" sheetId="9" r:id="rId5"/>
    <sheet name="DRM" sheetId="10" r:id="rId6"/>
  </sheets>
  <calcPr calcId="145621" concurrentCalc="0"/>
</workbook>
</file>

<file path=xl/calcChain.xml><?xml version="1.0" encoding="utf-8"?>
<calcChain xmlns="http://schemas.openxmlformats.org/spreadsheetml/2006/main">
  <c r="G14" i="11" l="1"/>
  <c r="F14" i="11"/>
  <c r="E14" i="11"/>
  <c r="D14" i="11"/>
  <c r="C20" i="11"/>
  <c r="D20" i="11"/>
  <c r="E20" i="11"/>
  <c r="F20" i="11"/>
  <c r="C14" i="11"/>
  <c r="R18" i="10"/>
  <c r="S18" i="10"/>
  <c r="T18" i="10"/>
  <c r="U18" i="10"/>
  <c r="Q18" i="10"/>
  <c r="Q20" i="10"/>
  <c r="R17" i="9"/>
  <c r="S17" i="9"/>
  <c r="T17" i="9"/>
  <c r="U17" i="9"/>
  <c r="Q17" i="9"/>
  <c r="Q19" i="9"/>
  <c r="R24" i="5"/>
  <c r="H7" i="5"/>
  <c r="R7" i="5"/>
  <c r="S7" i="5"/>
  <c r="T7" i="5"/>
  <c r="U7" i="5"/>
  <c r="V7" i="5"/>
  <c r="R8" i="5"/>
  <c r="S8" i="5"/>
  <c r="T8" i="5"/>
  <c r="U8" i="5"/>
  <c r="V8" i="5"/>
  <c r="R9" i="5"/>
  <c r="S9" i="5"/>
  <c r="T9" i="5"/>
  <c r="U9" i="5"/>
  <c r="V9" i="5"/>
  <c r="R10" i="5"/>
  <c r="S10" i="5"/>
  <c r="T10" i="5"/>
  <c r="U10" i="5"/>
  <c r="V10" i="5"/>
  <c r="R11" i="5"/>
  <c r="S11" i="5"/>
  <c r="T11" i="5"/>
  <c r="U11" i="5"/>
  <c r="V11" i="5"/>
  <c r="R12" i="5"/>
  <c r="S12" i="5"/>
  <c r="T12" i="5"/>
  <c r="U12" i="5"/>
  <c r="V12" i="5"/>
  <c r="R13" i="5"/>
  <c r="S13" i="5"/>
  <c r="T13" i="5"/>
  <c r="U13" i="5"/>
  <c r="V13" i="5"/>
  <c r="R14" i="5"/>
  <c r="S14" i="5"/>
  <c r="T14" i="5"/>
  <c r="U14" i="5"/>
  <c r="V14" i="5"/>
  <c r="R15" i="5"/>
  <c r="S15" i="5"/>
  <c r="T15" i="5"/>
  <c r="U15" i="5"/>
  <c r="V15" i="5"/>
  <c r="R16" i="5"/>
  <c r="S16" i="5"/>
  <c r="T16" i="5"/>
  <c r="U16" i="5"/>
  <c r="V16" i="5"/>
  <c r="S6" i="5"/>
  <c r="T6" i="5"/>
  <c r="U6" i="5"/>
  <c r="V6" i="5"/>
  <c r="R6" i="5"/>
  <c r="J7" i="5"/>
  <c r="J8" i="5"/>
  <c r="J9" i="5"/>
  <c r="J10" i="5"/>
  <c r="J11" i="5"/>
  <c r="J12" i="5"/>
  <c r="J13" i="5"/>
  <c r="J6" i="5"/>
  <c r="I6" i="5"/>
  <c r="I7" i="5"/>
  <c r="I8" i="5"/>
  <c r="I9" i="5"/>
  <c r="I10" i="5"/>
  <c r="I11" i="5"/>
  <c r="I12" i="5"/>
  <c r="I13" i="5"/>
  <c r="C11" i="11"/>
  <c r="C9" i="11"/>
  <c r="G6" i="9"/>
  <c r="F6" i="9"/>
  <c r="H6" i="9"/>
  <c r="E6" i="9"/>
  <c r="I6" i="9"/>
  <c r="Q6" i="9"/>
  <c r="G7" i="9"/>
  <c r="F7" i="9"/>
  <c r="H7" i="9"/>
  <c r="E7" i="9"/>
  <c r="I7" i="9"/>
  <c r="Q7" i="9"/>
  <c r="G8" i="9"/>
  <c r="F8" i="9"/>
  <c r="H8" i="9"/>
  <c r="E8" i="9"/>
  <c r="I8" i="9"/>
  <c r="Q8" i="9"/>
  <c r="G9" i="9"/>
  <c r="F9" i="9"/>
  <c r="H9" i="9"/>
  <c r="E9" i="9"/>
  <c r="I9" i="9"/>
  <c r="Q9" i="9"/>
  <c r="G10" i="9"/>
  <c r="F10" i="9"/>
  <c r="H10" i="9"/>
  <c r="E10" i="9"/>
  <c r="I10" i="9"/>
  <c r="Q10" i="9"/>
  <c r="G11" i="9"/>
  <c r="F11" i="9"/>
  <c r="H11" i="9"/>
  <c r="E11" i="9"/>
  <c r="I11" i="9"/>
  <c r="Q11" i="9"/>
  <c r="G12" i="9"/>
  <c r="F12" i="9"/>
  <c r="H12" i="9"/>
  <c r="E12" i="9"/>
  <c r="I12" i="9"/>
  <c r="Q12" i="9"/>
  <c r="G13" i="9"/>
  <c r="F13" i="9"/>
  <c r="H13" i="9"/>
  <c r="E13" i="9"/>
  <c r="I13" i="9"/>
  <c r="Q13" i="9"/>
  <c r="G14" i="9"/>
  <c r="F14" i="9"/>
  <c r="H14" i="9"/>
  <c r="E14" i="9"/>
  <c r="I14" i="9"/>
  <c r="Q14" i="9"/>
  <c r="Q16" i="9"/>
  <c r="C12" i="11"/>
  <c r="G6" i="10"/>
  <c r="H6" i="10"/>
  <c r="E6" i="10"/>
  <c r="I6" i="10"/>
  <c r="Q6" i="10"/>
  <c r="G7" i="10"/>
  <c r="H7" i="10"/>
  <c r="E7" i="10"/>
  <c r="I7" i="10"/>
  <c r="Q7" i="10"/>
  <c r="G8" i="10"/>
  <c r="H8" i="10"/>
  <c r="E8" i="10"/>
  <c r="I8" i="10"/>
  <c r="Q8" i="10"/>
  <c r="G9" i="10"/>
  <c r="H9" i="10"/>
  <c r="E9" i="10"/>
  <c r="I9" i="10"/>
  <c r="Q9" i="10"/>
  <c r="G10" i="10"/>
  <c r="H10" i="10"/>
  <c r="E10" i="10"/>
  <c r="I10" i="10"/>
  <c r="Q10" i="10"/>
  <c r="G11" i="10"/>
  <c r="H11" i="10"/>
  <c r="E11" i="10"/>
  <c r="I11" i="10"/>
  <c r="Q11" i="10"/>
  <c r="Q17" i="10"/>
  <c r="C13" i="11"/>
  <c r="H6" i="5"/>
  <c r="H8" i="5"/>
  <c r="H9" i="5"/>
  <c r="H10" i="5"/>
  <c r="H11" i="5"/>
  <c r="H12" i="5"/>
  <c r="H13" i="5"/>
  <c r="I14" i="5"/>
  <c r="J14" i="5"/>
  <c r="I15" i="5"/>
  <c r="J15" i="5"/>
  <c r="I16" i="5"/>
  <c r="J16" i="5"/>
  <c r="R21" i="5"/>
  <c r="R22" i="5"/>
  <c r="C10" i="11"/>
  <c r="D11" i="11"/>
  <c r="D9" i="11"/>
  <c r="R6" i="9"/>
  <c r="R7" i="9"/>
  <c r="R8" i="9"/>
  <c r="R9" i="9"/>
  <c r="R10" i="9"/>
  <c r="R11" i="9"/>
  <c r="R12" i="9"/>
  <c r="R13" i="9"/>
  <c r="R14" i="9"/>
  <c r="R16" i="9"/>
  <c r="D12" i="11"/>
  <c r="R6" i="10"/>
  <c r="R7" i="10"/>
  <c r="R8" i="10"/>
  <c r="R9" i="10"/>
  <c r="R10" i="10"/>
  <c r="R11" i="10"/>
  <c r="R17" i="10"/>
  <c r="D13" i="11"/>
  <c r="S21" i="5"/>
  <c r="S22" i="5"/>
  <c r="D10" i="11"/>
  <c r="E11" i="11"/>
  <c r="E9" i="11"/>
  <c r="S6" i="9"/>
  <c r="S7" i="9"/>
  <c r="S8" i="9"/>
  <c r="S9" i="9"/>
  <c r="S10" i="9"/>
  <c r="S11" i="9"/>
  <c r="S12" i="9"/>
  <c r="S13" i="9"/>
  <c r="S14" i="9"/>
  <c r="S16" i="9"/>
  <c r="E12" i="11"/>
  <c r="S6" i="10"/>
  <c r="S7" i="10"/>
  <c r="S8" i="10"/>
  <c r="S9" i="10"/>
  <c r="S10" i="10"/>
  <c r="S11" i="10"/>
  <c r="S17" i="10"/>
  <c r="E13" i="11"/>
  <c r="T21" i="5"/>
  <c r="T22" i="5"/>
  <c r="E10" i="11"/>
  <c r="F11" i="11"/>
  <c r="F9" i="11"/>
  <c r="T6" i="9"/>
  <c r="T7" i="9"/>
  <c r="T8" i="9"/>
  <c r="T9" i="9"/>
  <c r="T10" i="9"/>
  <c r="T11" i="9"/>
  <c r="T12" i="9"/>
  <c r="T13" i="9"/>
  <c r="T14" i="9"/>
  <c r="T16" i="9"/>
  <c r="F12" i="11"/>
  <c r="T6" i="10"/>
  <c r="T7" i="10"/>
  <c r="T8" i="10"/>
  <c r="T9" i="10"/>
  <c r="T10" i="10"/>
  <c r="T11" i="10"/>
  <c r="T17" i="10"/>
  <c r="F13" i="11"/>
  <c r="U21" i="5"/>
  <c r="U22" i="5"/>
  <c r="F10" i="11"/>
  <c r="G11" i="11"/>
  <c r="G9" i="11"/>
  <c r="U6" i="9"/>
  <c r="U7" i="9"/>
  <c r="U8" i="9"/>
  <c r="U9" i="9"/>
  <c r="U10" i="9"/>
  <c r="U11" i="9"/>
  <c r="U12" i="9"/>
  <c r="U13" i="9"/>
  <c r="U14" i="9"/>
  <c r="U16" i="9"/>
  <c r="G12" i="11"/>
  <c r="U6" i="10"/>
  <c r="U7" i="10"/>
  <c r="U8" i="10"/>
  <c r="U9" i="10"/>
  <c r="U10" i="10"/>
  <c r="U11" i="10"/>
  <c r="U17" i="10"/>
  <c r="G13" i="11"/>
  <c r="V21" i="5"/>
  <c r="V22" i="5"/>
  <c r="G10" i="11"/>
  <c r="G20" i="11"/>
  <c r="H20" i="11"/>
  <c r="Q33" i="8"/>
  <c r="Q20" i="12"/>
  <c r="G10" i="12"/>
  <c r="I6" i="12"/>
  <c r="Q6" i="12"/>
  <c r="H10" i="12"/>
  <c r="I10" i="12"/>
  <c r="Q10" i="12"/>
  <c r="Q17" i="12"/>
  <c r="Q18" i="12"/>
  <c r="G6" i="8"/>
  <c r="H6" i="8"/>
  <c r="I6" i="8"/>
  <c r="Q6" i="8"/>
  <c r="G7" i="8"/>
  <c r="H7" i="8"/>
  <c r="I7" i="8"/>
  <c r="Q7" i="8"/>
  <c r="G8" i="8"/>
  <c r="H8" i="8"/>
  <c r="I8" i="8"/>
  <c r="Q8" i="8"/>
  <c r="G9" i="8"/>
  <c r="H9" i="8"/>
  <c r="I9" i="8"/>
  <c r="Q9" i="8"/>
  <c r="G10" i="8"/>
  <c r="H10" i="8"/>
  <c r="I10" i="8"/>
  <c r="Q10" i="8"/>
  <c r="G11" i="8"/>
  <c r="H11" i="8"/>
  <c r="I11" i="8"/>
  <c r="Q11" i="8"/>
  <c r="G12" i="8"/>
  <c r="H12" i="8"/>
  <c r="I12" i="8"/>
  <c r="Q12" i="8"/>
  <c r="G13" i="8"/>
  <c r="H13" i="8"/>
  <c r="I13" i="8"/>
  <c r="Q13" i="8"/>
  <c r="G14" i="8"/>
  <c r="H14" i="8"/>
  <c r="I14" i="8"/>
  <c r="Q14" i="8"/>
  <c r="G15" i="8"/>
  <c r="H15" i="8"/>
  <c r="I15" i="8"/>
  <c r="Q15" i="8"/>
  <c r="G16" i="8"/>
  <c r="H16" i="8"/>
  <c r="I16" i="8"/>
  <c r="Q16" i="8"/>
  <c r="G17" i="8"/>
  <c r="H17" i="8"/>
  <c r="I17" i="8"/>
  <c r="Q17" i="8"/>
  <c r="G18" i="8"/>
  <c r="H18" i="8"/>
  <c r="I18" i="8"/>
  <c r="Q18" i="8"/>
  <c r="G19" i="8"/>
  <c r="H19" i="8"/>
  <c r="I19" i="8"/>
  <c r="Q19" i="8"/>
  <c r="G20" i="8"/>
  <c r="H20" i="8"/>
  <c r="I20" i="8"/>
  <c r="Q20" i="8"/>
  <c r="G21" i="8"/>
  <c r="H21" i="8"/>
  <c r="I21" i="8"/>
  <c r="Q21" i="8"/>
  <c r="G22" i="8"/>
  <c r="H22" i="8"/>
  <c r="I22" i="8"/>
  <c r="Q22" i="8"/>
  <c r="H23" i="8"/>
  <c r="I23" i="8"/>
  <c r="Q23" i="8"/>
  <c r="H24" i="8"/>
  <c r="I24" i="8"/>
  <c r="Q24" i="8"/>
  <c r="H25" i="8"/>
  <c r="I25" i="8"/>
  <c r="Q25" i="8"/>
  <c r="H26" i="8"/>
  <c r="I26" i="8"/>
  <c r="Q26" i="8"/>
  <c r="G27" i="8"/>
  <c r="H27" i="8"/>
  <c r="I27" i="8"/>
  <c r="Q27" i="8"/>
  <c r="G28" i="8"/>
  <c r="H28" i="8"/>
  <c r="I28" i="8"/>
  <c r="Q28" i="8"/>
  <c r="Q30" i="8"/>
  <c r="Q31" i="8"/>
  <c r="R6" i="12"/>
  <c r="R10" i="12"/>
  <c r="R17" i="12"/>
  <c r="R18" i="12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30" i="8"/>
  <c r="R31" i="8"/>
  <c r="S6" i="12"/>
  <c r="S10" i="12"/>
  <c r="S17" i="12"/>
  <c r="S18" i="12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30" i="8"/>
  <c r="S31" i="8"/>
  <c r="T6" i="12"/>
  <c r="T10" i="12"/>
  <c r="T17" i="12"/>
  <c r="T18" i="12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30" i="8"/>
  <c r="T31" i="8"/>
  <c r="U6" i="12"/>
  <c r="U10" i="12"/>
  <c r="U17" i="12"/>
  <c r="U18" i="12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6" i="8"/>
  <c r="U27" i="8"/>
  <c r="U28" i="8"/>
  <c r="U30" i="8"/>
  <c r="U31" i="8"/>
  <c r="G12" i="12"/>
  <c r="H12" i="12"/>
  <c r="I12" i="12"/>
  <c r="U12" i="12"/>
  <c r="T12" i="12"/>
  <c r="S12" i="12"/>
  <c r="R12" i="12"/>
  <c r="Q12" i="12"/>
  <c r="G11" i="12"/>
  <c r="H11" i="12"/>
  <c r="I11" i="12"/>
  <c r="U11" i="12"/>
  <c r="T11" i="12"/>
  <c r="S11" i="12"/>
  <c r="R11" i="12"/>
  <c r="Q11" i="12"/>
  <c r="G9" i="12"/>
  <c r="F9" i="12"/>
  <c r="H9" i="12"/>
  <c r="I9" i="12"/>
  <c r="U9" i="12"/>
  <c r="T9" i="12"/>
  <c r="S9" i="12"/>
  <c r="R9" i="12"/>
  <c r="Q9" i="12"/>
  <c r="G8" i="12"/>
  <c r="H8" i="12"/>
  <c r="I8" i="12"/>
  <c r="U8" i="12"/>
  <c r="T8" i="12"/>
  <c r="S8" i="12"/>
  <c r="R8" i="12"/>
  <c r="Q8" i="12"/>
  <c r="G7" i="12"/>
  <c r="H7" i="12"/>
  <c r="I7" i="12"/>
  <c r="U7" i="12"/>
  <c r="T7" i="12"/>
  <c r="S7" i="12"/>
  <c r="R7" i="12"/>
  <c r="Q7" i="12"/>
  <c r="H6" i="12"/>
</calcChain>
</file>

<file path=xl/comments1.xml><?xml version="1.0" encoding="utf-8"?>
<comments xmlns="http://schemas.openxmlformats.org/spreadsheetml/2006/main">
  <authors>
    <author>Robert Ball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AusNet Services: Refer to assumptions belowfor volume justifications</t>
        </r>
      </text>
    </comment>
  </commentList>
</comments>
</file>

<file path=xl/sharedStrings.xml><?xml version="1.0" encoding="utf-8"?>
<sst xmlns="http://schemas.openxmlformats.org/spreadsheetml/2006/main" count="226" uniqueCount="129">
  <si>
    <t>Customer access to data</t>
  </si>
  <si>
    <t>Access to smart meter services and SMP/B2B integration</t>
  </si>
  <si>
    <t>Demand Response Mechanism</t>
  </si>
  <si>
    <t>POC Initiative</t>
  </si>
  <si>
    <t>Assumptions</t>
  </si>
  <si>
    <t xml:space="preserve">Substeps </t>
  </si>
  <si>
    <t>Time</t>
  </si>
  <si>
    <t>Volume</t>
  </si>
  <si>
    <t>Current Volume</t>
  </si>
  <si>
    <t>#</t>
  </si>
  <si>
    <t xml:space="preserve">Phasing </t>
  </si>
  <si>
    <t>Process descriptions</t>
  </si>
  <si>
    <t>in hrs</t>
  </si>
  <si>
    <t>Metering Contestability</t>
  </si>
  <si>
    <t>Cost reflective pricing</t>
  </si>
  <si>
    <t>Define new demand tariffs</t>
  </si>
  <si>
    <t>Load and test new tariffs</t>
  </si>
  <si>
    <t>Respond to customer queries</t>
  </si>
  <si>
    <t>Manage revenue reconsiliation</t>
  </si>
  <si>
    <t>Collect and assess maximum demand data</t>
  </si>
  <si>
    <t>Run scenarios regarding new tariff structures</t>
  </si>
  <si>
    <t>Assess phased increase to demand charges</t>
  </si>
  <si>
    <t>Load new  more complext tariffs in billing systems</t>
  </si>
  <si>
    <t xml:space="preserve">Test and review more complex tariffs </t>
  </si>
  <si>
    <t>Investigate billing data to answer customer queries</t>
  </si>
  <si>
    <t>per unit</t>
  </si>
  <si>
    <t>per year</t>
  </si>
  <si>
    <t>per mth</t>
  </si>
  <si>
    <t>Calls/Emails to the Contact Centre</t>
  </si>
  <si>
    <t>General feedback and direction to the Web Portal</t>
  </si>
  <si>
    <t>RC Registration Exception Management</t>
  </si>
  <si>
    <t xml:space="preserve">Define criteria that has failed </t>
  </si>
  <si>
    <t>Communicate to Customer</t>
  </si>
  <si>
    <t>Collect updated criteria</t>
  </si>
  <si>
    <t>Update Customer profile &amp; approve for processing</t>
  </si>
  <si>
    <t xml:space="preserve">Business RC Registration Exception Management </t>
  </si>
  <si>
    <t>CAR Registration Exception Management</t>
  </si>
  <si>
    <t xml:space="preserve">Update CAR profile </t>
  </si>
  <si>
    <t>Validate Consent for each NMI Nominated</t>
  </si>
  <si>
    <t>Update profile of Nominated NMI &amp; approve for processing</t>
  </si>
  <si>
    <t xml:space="preserve">Data Request Exception Management, </t>
  </si>
  <si>
    <t>Missing reads, period validity (Move In/Out), meter changes (Basic to RRIM)</t>
  </si>
  <si>
    <t>Data Collection &amp; Formatting Exception Management</t>
  </si>
  <si>
    <t>Generate substitute reads</t>
  </si>
  <si>
    <t>Revise request period to match Move In/Out window.</t>
  </si>
  <si>
    <t>Manually extract BASIC &amp; RRIM data for chosen period and aggregate into a combined summary report</t>
  </si>
  <si>
    <t>CAR Nominated NMI Exception Management</t>
  </si>
  <si>
    <t>Data Distribution</t>
  </si>
  <si>
    <t>Billing</t>
  </si>
  <si>
    <t>Acronym</t>
  </si>
  <si>
    <t>Term</t>
  </si>
  <si>
    <t>CAR</t>
  </si>
  <si>
    <t>Customer Authorised Representative</t>
  </si>
  <si>
    <t>Supporting IT System is fully in place</t>
  </si>
  <si>
    <t>RC</t>
  </si>
  <si>
    <t>Retail Customer</t>
  </si>
  <si>
    <t>RC (Individuals) - Monthly Registrations 200</t>
  </si>
  <si>
    <t>RC (Business) - Monthly Registrations 20</t>
  </si>
  <si>
    <t>CAR - Monthly Registrations 5</t>
  </si>
  <si>
    <t>CAR requests to average 1 per week with 150 NMI's per request</t>
  </si>
  <si>
    <t>Total Monthly requests = 225</t>
  </si>
  <si>
    <t>RC (Individuals) - Registration exception rate to be 10%</t>
  </si>
  <si>
    <t>RC (Business) - Registration exception rate to be 100%</t>
  </si>
  <si>
    <t>CAR - Registration exception rate to be 100%</t>
  </si>
  <si>
    <t>CAR - Meter Data Exceptions for Nominated NMI's - 10%</t>
  </si>
  <si>
    <t>Access to smart meter services and SMP/B2B Integration</t>
  </si>
  <si>
    <t>Providing smart meter services via the SMP - remote re-energisation</t>
  </si>
  <si>
    <t>Manual validation (to increase from 10% to 25% of eligible service orders with introduction of new system &amp; processes)</t>
  </si>
  <si>
    <t>System time-out intervention (to increase from 5% to 10% of eligible service orders with introduction of new system &amp; processes)</t>
  </si>
  <si>
    <t>Providing smart meter services via the SMP - remote de-energisation</t>
  </si>
  <si>
    <t>Providing smart meter services via the SMP
- remote de-energisation</t>
  </si>
  <si>
    <t>Providing smart meter services via the SMP - remote on-demand meter read service</t>
  </si>
  <si>
    <t>Manual validation (to increase from 4% to 10% of eligible service orders with introduction of new system &amp; processes)</t>
  </si>
  <si>
    <t>Providing smart meter services via the SMP - remote meter re-configuration</t>
  </si>
  <si>
    <t>Providing smart meter services via the SMP - Metering installtion inquiry service</t>
  </si>
  <si>
    <t>Provide raw interval data to the DRA</t>
  </si>
  <si>
    <t>Manage new DRA market role</t>
  </si>
  <si>
    <t>MC</t>
  </si>
  <si>
    <t>CAD</t>
  </si>
  <si>
    <t>SMP</t>
  </si>
  <si>
    <t>CRP</t>
  </si>
  <si>
    <t>DRM</t>
  </si>
  <si>
    <t>Total</t>
  </si>
  <si>
    <t>System time-out intervention (to initially increase from 10% to 30% of eligible service orders with introduction of new system &amp; processes)</t>
  </si>
  <si>
    <t>New connections</t>
  </si>
  <si>
    <t>Asset management</t>
  </si>
  <si>
    <t>Meter data management</t>
  </si>
  <si>
    <t>Time (hrs)</t>
  </si>
  <si>
    <t>New volume per annum</t>
  </si>
  <si>
    <t>Per transaction</t>
  </si>
  <si>
    <t>Process/function</t>
  </si>
  <si>
    <t>Current volume per annum</t>
  </si>
  <si>
    <t>Exception management back office activities (e.g. follow up of outstanding info) - based on 10% manual intervention for all new new connections</t>
  </si>
  <si>
    <t>Field services (based on 14,000 new connections per annum):
- Inserting fuse (incl. travel + documentation)</t>
  </si>
  <si>
    <t>Incremental change</t>
  </si>
  <si>
    <t>Co-ordination of work with meter coordinators (i.e. third parties) installing meters in AusNet Services' distribution network area (based on 14,000 new connections per annum):
- ensure all relevant documentation received
- create &amp; provide NMI
- arrange appointment for fuse insert.</t>
  </si>
  <si>
    <t>Back office and warehousing activities (assumes ramping up to 100 meter returns per month and gradual phase in from 2018), including:
- updating systems
- retiring meter asset in SAP ERP
- read meter (if final meter read required - for non logically converted meters)</t>
  </si>
  <si>
    <t>Exception management back office activities - assumes a 10%  increase in exceptions due to new processes. Phases down from 2018 to reflect system and process maturity</t>
  </si>
  <si>
    <t>New exit fee processes (e.g. responding to enquires, calculation and processing etc.). Assumes churn of up to 5% by 2020, with gradual phase in to reflect low initial churn rate</t>
  </si>
  <si>
    <t>Requests for data from meter data providers (Meter Coordinators) for billing purposes (i.e. where data extracted from AusNet  system is not complete/fit for purpose). Assumes 10% exception rate for all new connections, which reflects the current rate for commercial and industrial customers with interval meters installed</t>
  </si>
  <si>
    <t>Hours:</t>
  </si>
  <si>
    <t>FTE:</t>
  </si>
  <si>
    <t>Work hours per year:</t>
  </si>
  <si>
    <t>New Volume</t>
  </si>
  <si>
    <t>Power of Choice opex build-up</t>
  </si>
  <si>
    <t>Demand reponse mechanism</t>
  </si>
  <si>
    <t>Power of Choice reform</t>
  </si>
  <si>
    <t>FTE impact</t>
  </si>
  <si>
    <t>AusNet Services Revised Proposal</t>
  </si>
  <si>
    <t>2016-20 EDPR</t>
  </si>
  <si>
    <t>Cost per FTE ($ 2015)</t>
  </si>
  <si>
    <t>Opex impact ($ 2015)</t>
  </si>
  <si>
    <t xml:space="preserve">Develop and select new tariffs </t>
  </si>
  <si>
    <t>Perform more complex revenue reconciliation activities</t>
  </si>
  <si>
    <t xml:space="preserve">Manage more complex revenue budget and forecasting </t>
  </si>
  <si>
    <t>Respond to customer queries (i.e. regarding new monthly max demand charge component)</t>
  </si>
  <si>
    <t>Investigate meter data for anomalies</t>
  </si>
  <si>
    <t>Timeframe</t>
  </si>
  <si>
    <t>New volume</t>
  </si>
  <si>
    <t>Incremental time required per annum</t>
  </si>
  <si>
    <t>Manual validation (to increase from 0% to 25% of eligible service orders with introduction of new system &amp; processes). Assumes 50% inquiry rate against for 14,000 new connections per annum</t>
  </si>
  <si>
    <t>System time-out intervention (to increase from 0% to 10% of eligible service orders with introduction of new system &amp; processes). Assumes 50% inquiry rate against for 14,000 new connections per annum</t>
  </si>
  <si>
    <t>Time required - phased</t>
  </si>
  <si>
    <t>Maintain standing and reference data (10% manual intervention across 14,000 new connections per annum)</t>
  </si>
  <si>
    <t>Manage additional standing data (10% manual intervention across 14,000 new connections per annum)</t>
  </si>
  <si>
    <t>Acknowledge requests from DRAs - manage exceptions (10% across 365 requests per annum for 5 DRAs)</t>
  </si>
  <si>
    <t>Receive requests from DRAs - manage exceptions (10% across 365 requests per annum for an assumed 5 Demand Response Aggregators (DRAs))</t>
  </si>
  <si>
    <t>Provide data to DRAs - manage exceptions (10% across 365 requests per annum for 5 DRAs)</t>
  </si>
  <si>
    <t>Manage/resolve queries from DRAs - manual intervention (10% across 365 requests per annum for 5 DRAs)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</si>
</sst>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&quot;$&quot;* #,##0_-;\-&quot;$&quot;* #,##0_-;_-&quot;$&quot;* &quot;-&quot;??_-;_-@_-"/>
    <numFmt numFmtId="167" formatCode="_-* #,##0.0_-;\-* #,##0.0_-;_-* &quot;-&quot;??_-;_-@_-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7" fillId="3" borderId="4" xfId="3" applyFont="1" applyBorder="1" applyAlignment="1">
      <alignment horizontal="center" wrapText="1"/>
    </xf>
    <xf numFmtId="0" fontId="7" fillId="4" borderId="4" xfId="4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3" borderId="0" xfId="3" applyFont="1"/>
    <xf numFmtId="0" fontId="3" fillId="0" borderId="0" xfId="0" applyFont="1"/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3" borderId="0" xfId="3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4" xfId="0" applyBorder="1"/>
    <xf numFmtId="0" fontId="0" fillId="0" borderId="13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0" borderId="21" xfId="0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left" wrapText="1"/>
    </xf>
    <xf numFmtId="0" fontId="0" fillId="0" borderId="17" xfId="0" applyFill="1" applyBorder="1" applyAlignment="1">
      <alignment horizontal="center"/>
    </xf>
    <xf numFmtId="0" fontId="0" fillId="0" borderId="25" xfId="0" applyBorder="1" applyAlignment="1">
      <alignment horizontal="left" vertical="center"/>
    </xf>
    <xf numFmtId="3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3" borderId="3" xfId="3" applyFont="1" applyBorder="1" applyAlignment="1">
      <alignment horizontal="center"/>
    </xf>
    <xf numFmtId="0" fontId="2" fillId="3" borderId="0" xfId="3" applyFont="1" applyAlignment="1">
      <alignment horizontal="center"/>
    </xf>
    <xf numFmtId="0" fontId="0" fillId="5" borderId="3" xfId="0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0" fillId="0" borderId="0" xfId="0" applyFont="1"/>
    <xf numFmtId="0" fontId="0" fillId="5" borderId="0" xfId="0" applyFill="1"/>
    <xf numFmtId="0" fontId="11" fillId="5" borderId="0" xfId="0" applyFont="1" applyFill="1"/>
    <xf numFmtId="2" fontId="0" fillId="5" borderId="0" xfId="0" applyNumberFormat="1" applyFill="1"/>
    <xf numFmtId="0" fontId="6" fillId="6" borderId="3" xfId="4" applyFont="1" applyFill="1" applyBorder="1" applyAlignment="1">
      <alignment horizontal="center" wrapText="1"/>
    </xf>
    <xf numFmtId="0" fontId="10" fillId="5" borderId="30" xfId="0" applyFont="1" applyFill="1" applyBorder="1"/>
    <xf numFmtId="0" fontId="0" fillId="5" borderId="30" xfId="0" applyFill="1" applyBorder="1"/>
    <xf numFmtId="0" fontId="0" fillId="5" borderId="0" xfId="0" applyFill="1" applyAlignment="1">
      <alignment wrapText="1"/>
    </xf>
    <xf numFmtId="0" fontId="3" fillId="5" borderId="0" xfId="0" applyFont="1" applyFill="1"/>
    <xf numFmtId="165" fontId="0" fillId="5" borderId="3" xfId="0" applyNumberFormat="1" applyFill="1" applyBorder="1" applyAlignment="1">
      <alignment horizontal="right" vertical="center"/>
    </xf>
    <xf numFmtId="165" fontId="3" fillId="5" borderId="3" xfId="0" applyNumberFormat="1" applyFont="1" applyFill="1" applyBorder="1" applyAlignment="1">
      <alignment horizontal="right" vertical="center"/>
    </xf>
    <xf numFmtId="168" fontId="0" fillId="5" borderId="3" xfId="2" applyNumberFormat="1" applyFont="1" applyFill="1" applyBorder="1"/>
    <xf numFmtId="168" fontId="0" fillId="5" borderId="3" xfId="1" applyNumberFormat="1" applyFont="1" applyFill="1" applyBorder="1" applyAlignment="1">
      <alignment horizontal="right"/>
    </xf>
    <xf numFmtId="166" fontId="3" fillId="5" borderId="3" xfId="0" applyNumberFormat="1" applyFont="1" applyFill="1" applyBorder="1"/>
    <xf numFmtId="0" fontId="0" fillId="0" borderId="3" xfId="0" applyBorder="1" applyAlignment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center"/>
    </xf>
    <xf numFmtId="165" fontId="0" fillId="0" borderId="0" xfId="0" applyNumberFormat="1"/>
    <xf numFmtId="164" fontId="0" fillId="0" borderId="3" xfId="2" applyNumberFormat="1" applyFont="1" applyBorder="1"/>
    <xf numFmtId="165" fontId="0" fillId="0" borderId="3" xfId="0" applyNumberFormat="1" applyBorder="1"/>
    <xf numFmtId="0" fontId="2" fillId="3" borderId="3" xfId="3" applyFont="1" applyBorder="1"/>
    <xf numFmtId="164" fontId="1" fillId="5" borderId="3" xfId="2" applyNumberFormat="1" applyFont="1" applyFill="1" applyBorder="1" applyAlignment="1">
      <alignment horizontal="center"/>
    </xf>
    <xf numFmtId="167" fontId="0" fillId="5" borderId="3" xfId="0" applyNumberFormat="1" applyFont="1" applyFill="1" applyBorder="1"/>
    <xf numFmtId="167" fontId="0" fillId="5" borderId="0" xfId="0" applyNumberFormat="1" applyFont="1" applyFill="1" applyBorder="1"/>
    <xf numFmtId="0" fontId="14" fillId="5" borderId="0" xfId="0" applyFont="1" applyFill="1"/>
    <xf numFmtId="0" fontId="2" fillId="6" borderId="3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3" borderId="3" xfId="3" applyFont="1" applyBorder="1" applyAlignment="1">
      <alignment horizontal="center"/>
    </xf>
    <xf numFmtId="0" fontId="2" fillId="4" borderId="3" xfId="4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">
    <cellStyle name="Accent1" xfId="3" builtinId="29"/>
    <cellStyle name="Accent3" xfId="4" builtinId="37"/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E24" sqref="E24"/>
    </sheetView>
  </sheetViews>
  <sheetFormatPr defaultRowHeight="15" x14ac:dyDescent="0.25"/>
  <cols>
    <col min="1" max="1" width="15.140625" style="67" customWidth="1"/>
    <col min="2" max="2" width="53.85546875" style="67" customWidth="1"/>
    <col min="3" max="8" width="12.5703125" style="67" customWidth="1"/>
    <col min="9" max="16384" width="9.140625" style="67"/>
  </cols>
  <sheetData>
    <row r="2" spans="1:9" ht="21" x14ac:dyDescent="0.35">
      <c r="B2" s="90" t="s">
        <v>108</v>
      </c>
    </row>
    <row r="3" spans="1:9" ht="18.75" x14ac:dyDescent="0.3">
      <c r="B3" s="68" t="s">
        <v>109</v>
      </c>
    </row>
    <row r="4" spans="1:9" ht="15.75" customHeight="1" x14ac:dyDescent="0.3">
      <c r="B4" s="68"/>
    </row>
    <row r="5" spans="1:9" s="72" customFormat="1" ht="15.75" x14ac:dyDescent="0.25">
      <c r="B5" s="71" t="s">
        <v>104</v>
      </c>
    </row>
    <row r="7" spans="1:9" x14ac:dyDescent="0.25">
      <c r="B7" s="74"/>
      <c r="C7" s="93" t="s">
        <v>107</v>
      </c>
      <c r="D7" s="93"/>
      <c r="E7" s="93"/>
      <c r="F7" s="93"/>
      <c r="G7" s="93"/>
    </row>
    <row r="8" spans="1:9" x14ac:dyDescent="0.25">
      <c r="B8" s="74" t="s">
        <v>106</v>
      </c>
      <c r="C8" s="70">
        <v>2016</v>
      </c>
      <c r="D8" s="70">
        <v>2017</v>
      </c>
      <c r="E8" s="70">
        <v>2018</v>
      </c>
      <c r="F8" s="70">
        <v>2019</v>
      </c>
      <c r="G8" s="70">
        <v>2020</v>
      </c>
    </row>
    <row r="9" spans="1:9" x14ac:dyDescent="0.25">
      <c r="A9" s="92" t="s">
        <v>78</v>
      </c>
      <c r="B9" s="73" t="s">
        <v>0</v>
      </c>
      <c r="C9" s="75">
        <f>CAD!Q31</f>
        <v>0.94188405797101449</v>
      </c>
      <c r="D9" s="75">
        <f>CAD!R31</f>
        <v>0.94188405797101449</v>
      </c>
      <c r="E9" s="75">
        <f>CAD!S31</f>
        <v>0.93492753623188407</v>
      </c>
      <c r="F9" s="75">
        <f>CAD!T31</f>
        <v>0.93492753623188407</v>
      </c>
      <c r="G9" s="75">
        <f>CAD!U31</f>
        <v>0.94188405797101449</v>
      </c>
    </row>
    <row r="10" spans="1:9" x14ac:dyDescent="0.25">
      <c r="A10" s="92" t="s">
        <v>80</v>
      </c>
      <c r="B10" s="73" t="s">
        <v>14</v>
      </c>
      <c r="C10" s="75">
        <f>CRP!R22</f>
        <v>0.24521739130434783</v>
      </c>
      <c r="D10" s="75">
        <f>CRP!S22</f>
        <v>1.4127536231884057</v>
      </c>
      <c r="E10" s="75">
        <f>CRP!T22</f>
        <v>1.7591304347826087</v>
      </c>
      <c r="F10" s="75">
        <f>CRP!U22</f>
        <v>2.1055072463768116</v>
      </c>
      <c r="G10" s="75">
        <f>CRP!V22</f>
        <v>2.1055072463768116</v>
      </c>
    </row>
    <row r="11" spans="1:9" x14ac:dyDescent="0.25">
      <c r="A11" s="92" t="s">
        <v>77</v>
      </c>
      <c r="B11" s="73" t="s">
        <v>13</v>
      </c>
      <c r="C11" s="75">
        <f>MC!Q18</f>
        <v>0</v>
      </c>
      <c r="D11" s="75">
        <f>MC!R18</f>
        <v>0</v>
      </c>
      <c r="E11" s="75">
        <f>MC!S18</f>
        <v>6.1330434782608698</v>
      </c>
      <c r="F11" s="75">
        <f>MC!T18</f>
        <v>7.4150724637681158</v>
      </c>
      <c r="G11" s="75">
        <f>MC!U18</f>
        <v>9.9895652173913039</v>
      </c>
    </row>
    <row r="12" spans="1:9" x14ac:dyDescent="0.25">
      <c r="A12" s="92" t="s">
        <v>79</v>
      </c>
      <c r="B12" s="73" t="s">
        <v>1</v>
      </c>
      <c r="C12" s="75">
        <f>SMP!Q17</f>
        <v>0</v>
      </c>
      <c r="D12" s="75">
        <f>SMP!R17</f>
        <v>0</v>
      </c>
      <c r="E12" s="75">
        <f>SMP!S17</f>
        <v>1.1833241545893718</v>
      </c>
      <c r="F12" s="75">
        <f>SMP!T17</f>
        <v>0.94665932367149752</v>
      </c>
      <c r="G12" s="75">
        <f>SMP!U17</f>
        <v>0.70999449275362314</v>
      </c>
    </row>
    <row r="13" spans="1:9" x14ac:dyDescent="0.25">
      <c r="A13" s="92" t="s">
        <v>81</v>
      </c>
      <c r="B13" s="73" t="s">
        <v>105</v>
      </c>
      <c r="C13" s="75">
        <f>DRM!Q18</f>
        <v>0</v>
      </c>
      <c r="D13" s="75">
        <f>DRM!R18</f>
        <v>0</v>
      </c>
      <c r="E13" s="75">
        <f>DRM!S18</f>
        <v>0.30695652173913046</v>
      </c>
      <c r="F13" s="75">
        <f>DRM!T18</f>
        <v>0.4092753623188406</v>
      </c>
      <c r="G13" s="75">
        <f>DRM!U18</f>
        <v>0.51159420289855073</v>
      </c>
    </row>
    <row r="14" spans="1:9" x14ac:dyDescent="0.25">
      <c r="B14" s="74" t="s">
        <v>82</v>
      </c>
      <c r="C14" s="76">
        <f>SUM(C9:C13)</f>
        <v>1.1871014492753624</v>
      </c>
      <c r="D14" s="76">
        <f t="shared" ref="D14:G14" si="0">SUM(D9:D13)</f>
        <v>2.3546376811594203</v>
      </c>
      <c r="E14" s="76">
        <f t="shared" si="0"/>
        <v>10.317382125603864</v>
      </c>
      <c r="F14" s="76">
        <f t="shared" si="0"/>
        <v>11.811441932367149</v>
      </c>
      <c r="G14" s="76">
        <f t="shared" si="0"/>
        <v>14.258545217391303</v>
      </c>
      <c r="I14" s="69"/>
    </row>
    <row r="16" spans="1:9" x14ac:dyDescent="0.25">
      <c r="B16" s="74" t="s">
        <v>110</v>
      </c>
      <c r="C16" s="77">
        <v>120000</v>
      </c>
    </row>
    <row r="18" spans="2:8" x14ac:dyDescent="0.25">
      <c r="C18" s="94" t="s">
        <v>111</v>
      </c>
      <c r="D18" s="94"/>
      <c r="E18" s="94"/>
      <c r="F18" s="94"/>
      <c r="G18" s="94"/>
    </row>
    <row r="19" spans="2:8" x14ac:dyDescent="0.25">
      <c r="B19" s="74"/>
      <c r="C19" s="70">
        <v>2016</v>
      </c>
      <c r="D19" s="70">
        <v>2017</v>
      </c>
      <c r="E19" s="70">
        <v>2018</v>
      </c>
      <c r="F19" s="70">
        <v>2019</v>
      </c>
      <c r="G19" s="70">
        <v>2020</v>
      </c>
      <c r="H19" s="91" t="s">
        <v>82</v>
      </c>
    </row>
    <row r="20" spans="2:8" x14ac:dyDescent="0.25">
      <c r="B20" s="74"/>
      <c r="C20" s="78">
        <f>$C$16*C14</f>
        <v>142452.17391304349</v>
      </c>
      <c r="D20" s="78">
        <f>$C$16*D14</f>
        <v>282556.52173913043</v>
      </c>
      <c r="E20" s="78">
        <f>$C$16*E14</f>
        <v>1238085.8550724636</v>
      </c>
      <c r="F20" s="78">
        <f>$C$16*F14</f>
        <v>1417373.0318840579</v>
      </c>
      <c r="G20" s="78">
        <f>$C$16*G14</f>
        <v>1711025.4260869564</v>
      </c>
      <c r="H20" s="79">
        <f>SUM(C20:G20)</f>
        <v>4791493.0086956518</v>
      </c>
    </row>
  </sheetData>
  <mergeCells count="2">
    <mergeCell ref="C7:G7"/>
    <mergeCell ref="C18:G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80" zoomScaleNormal="80" workbookViewId="0">
      <selection activeCell="Q4" sqref="Q4:U4"/>
    </sheetView>
  </sheetViews>
  <sheetFormatPr defaultRowHeight="15" x14ac:dyDescent="0.25"/>
  <cols>
    <col min="2" max="2" width="35" style="1" customWidth="1"/>
    <col min="3" max="3" width="31.42578125" style="1" customWidth="1"/>
    <col min="4" max="4" width="2.42578125" customWidth="1"/>
    <col min="5" max="9" width="13.28515625" customWidth="1"/>
    <col min="10" max="10" width="2.42578125" customWidth="1"/>
    <col min="16" max="16" width="2.42578125" customWidth="1"/>
    <col min="17" max="21" width="9.5703125" bestFit="1" customWidth="1"/>
    <col min="22" max="22" width="9.140625" style="12"/>
  </cols>
  <sheetData>
    <row r="1" spans="1:22" x14ac:dyDescent="0.25">
      <c r="A1" s="111" t="s">
        <v>3</v>
      </c>
      <c r="B1" s="111"/>
    </row>
    <row r="2" spans="1:22" x14ac:dyDescent="0.25">
      <c r="A2" s="111"/>
      <c r="B2" s="111"/>
    </row>
    <row r="3" spans="1:22" ht="28.5" x14ac:dyDescent="0.25">
      <c r="A3" s="2"/>
      <c r="B3" s="112" t="s">
        <v>0</v>
      </c>
      <c r="C3" s="113"/>
    </row>
    <row r="4" spans="1:22" s="10" customFormat="1" x14ac:dyDescent="0.25">
      <c r="A4" s="9" t="s">
        <v>11</v>
      </c>
      <c r="B4" s="13"/>
      <c r="C4" s="13"/>
      <c r="E4" s="56" t="s">
        <v>87</v>
      </c>
      <c r="F4" s="114" t="s">
        <v>7</v>
      </c>
      <c r="G4" s="114"/>
      <c r="H4" s="114"/>
      <c r="I4" s="114"/>
      <c r="K4" s="115" t="s">
        <v>10</v>
      </c>
      <c r="L4" s="115"/>
      <c r="M4" s="115"/>
      <c r="N4" s="115"/>
      <c r="O4" s="115"/>
      <c r="Q4" s="115" t="s">
        <v>122</v>
      </c>
      <c r="R4" s="115"/>
      <c r="S4" s="115"/>
      <c r="T4" s="115"/>
      <c r="U4" s="115"/>
      <c r="V4" s="12"/>
    </row>
    <row r="5" spans="1:22" s="8" customFormat="1" ht="63.75" thickBot="1" x14ac:dyDescent="0.3">
      <c r="A5" s="6" t="s">
        <v>9</v>
      </c>
      <c r="B5" s="6" t="s">
        <v>90</v>
      </c>
      <c r="C5" s="6" t="s">
        <v>5</v>
      </c>
      <c r="E5" s="6" t="s">
        <v>89</v>
      </c>
      <c r="F5" s="6" t="s">
        <v>8</v>
      </c>
      <c r="G5" s="6" t="s">
        <v>103</v>
      </c>
      <c r="H5" s="6" t="s">
        <v>94</v>
      </c>
      <c r="I5" s="6" t="s">
        <v>119</v>
      </c>
      <c r="K5" s="7">
        <v>2016</v>
      </c>
      <c r="L5" s="7">
        <v>2017</v>
      </c>
      <c r="M5" s="7">
        <v>2018</v>
      </c>
      <c r="N5" s="7">
        <v>2019</v>
      </c>
      <c r="O5" s="7">
        <v>2020</v>
      </c>
      <c r="Q5" s="7">
        <v>2016</v>
      </c>
      <c r="R5" s="7">
        <v>2017</v>
      </c>
      <c r="S5" s="7">
        <v>2018</v>
      </c>
      <c r="T5" s="7">
        <v>2019</v>
      </c>
      <c r="U5" s="7">
        <v>2020</v>
      </c>
      <c r="V5" s="14"/>
    </row>
    <row r="6" spans="1:22" ht="30.75" thickBot="1" x14ac:dyDescent="0.3">
      <c r="A6" s="15">
        <v>1</v>
      </c>
      <c r="B6" s="62" t="s">
        <v>28</v>
      </c>
      <c r="C6" s="59" t="s">
        <v>29</v>
      </c>
      <c r="D6" s="16"/>
      <c r="E6" s="17">
        <v>0.1</v>
      </c>
      <c r="F6" s="17">
        <v>0</v>
      </c>
      <c r="G6" s="17">
        <f>(225*12)*10%</f>
        <v>270</v>
      </c>
      <c r="H6" s="63">
        <f>G6-F6</f>
        <v>270</v>
      </c>
      <c r="I6" s="17">
        <f>E6*H6</f>
        <v>27</v>
      </c>
      <c r="J6" s="16"/>
      <c r="K6" s="18">
        <v>1</v>
      </c>
      <c r="L6" s="18">
        <v>1</v>
      </c>
      <c r="M6" s="18">
        <v>1</v>
      </c>
      <c r="N6" s="18">
        <v>1</v>
      </c>
      <c r="O6" s="18">
        <v>1</v>
      </c>
      <c r="P6" s="16"/>
      <c r="Q6" s="17">
        <f>$I6*K6</f>
        <v>27</v>
      </c>
      <c r="R6" s="17">
        <f>$I6*L6</f>
        <v>27</v>
      </c>
      <c r="S6" s="17">
        <f t="shared" ref="S6:U6" si="0">$I6*M6</f>
        <v>27</v>
      </c>
      <c r="T6" s="17">
        <f t="shared" si="0"/>
        <v>27</v>
      </c>
      <c r="U6" s="19">
        <f t="shared" si="0"/>
        <v>27</v>
      </c>
      <c r="V6" s="20"/>
    </row>
    <row r="7" spans="1:22" ht="15.75" thickBot="1" x14ac:dyDescent="0.3">
      <c r="A7" s="108">
        <v>2</v>
      </c>
      <c r="B7" s="98" t="s">
        <v>30</v>
      </c>
      <c r="C7" s="60" t="s">
        <v>31</v>
      </c>
      <c r="D7" s="21"/>
      <c r="E7" s="22">
        <v>0.25</v>
      </c>
      <c r="F7" s="22">
        <v>0</v>
      </c>
      <c r="G7" s="22">
        <f>(200*12)*10%</f>
        <v>240</v>
      </c>
      <c r="H7" s="63">
        <f t="shared" ref="H7:H28" si="1">G7-F7</f>
        <v>240</v>
      </c>
      <c r="I7" s="17">
        <f t="shared" ref="I7:I28" si="2">E7*H7</f>
        <v>60</v>
      </c>
      <c r="J7" s="21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1"/>
      <c r="Q7" s="22">
        <f>$I7*K7</f>
        <v>60</v>
      </c>
      <c r="R7" s="22">
        <f t="shared" ref="R7:U22" si="3">$I7*L7</f>
        <v>60</v>
      </c>
      <c r="S7" s="22">
        <f t="shared" si="3"/>
        <v>60</v>
      </c>
      <c r="T7" s="22">
        <f t="shared" si="3"/>
        <v>60</v>
      </c>
      <c r="U7" s="24">
        <f t="shared" si="3"/>
        <v>60</v>
      </c>
    </row>
    <row r="8" spans="1:22" ht="15.75" thickBot="1" x14ac:dyDescent="0.3">
      <c r="A8" s="109">
        <v>2</v>
      </c>
      <c r="B8" s="99"/>
      <c r="C8" s="45" t="s">
        <v>32</v>
      </c>
      <c r="D8" s="26"/>
      <c r="E8" s="4">
        <v>0.5</v>
      </c>
      <c r="F8" s="4">
        <v>0</v>
      </c>
      <c r="G8" s="4">
        <f>(200*12)*10%</f>
        <v>240</v>
      </c>
      <c r="H8" s="63">
        <f t="shared" si="1"/>
        <v>240</v>
      </c>
      <c r="I8" s="17">
        <f t="shared" si="2"/>
        <v>120</v>
      </c>
      <c r="J8" s="26"/>
      <c r="K8" s="5">
        <v>1</v>
      </c>
      <c r="L8" s="5">
        <v>1</v>
      </c>
      <c r="M8" s="5">
        <v>1</v>
      </c>
      <c r="N8" s="5">
        <v>1</v>
      </c>
      <c r="O8" s="5">
        <v>1</v>
      </c>
      <c r="P8" s="26"/>
      <c r="Q8" s="4">
        <f t="shared" ref="Q8:Q10" si="4">$I8*K8</f>
        <v>120</v>
      </c>
      <c r="R8" s="4">
        <f t="shared" si="3"/>
        <v>120</v>
      </c>
      <c r="S8" s="4">
        <f t="shared" si="3"/>
        <v>120</v>
      </c>
      <c r="T8" s="4">
        <f t="shared" si="3"/>
        <v>120</v>
      </c>
      <c r="U8" s="27">
        <f t="shared" si="3"/>
        <v>120</v>
      </c>
    </row>
    <row r="9" spans="1:22" ht="15.75" thickBot="1" x14ac:dyDescent="0.3">
      <c r="A9" s="109">
        <v>3</v>
      </c>
      <c r="B9" s="99"/>
      <c r="C9" s="45" t="s">
        <v>33</v>
      </c>
      <c r="D9" s="26"/>
      <c r="E9" s="4">
        <v>0.25</v>
      </c>
      <c r="F9" s="4">
        <v>0</v>
      </c>
      <c r="G9" s="4">
        <f>(200*12)*10%</f>
        <v>240</v>
      </c>
      <c r="H9" s="63">
        <f t="shared" si="1"/>
        <v>240</v>
      </c>
      <c r="I9" s="17">
        <f t="shared" si="2"/>
        <v>60</v>
      </c>
      <c r="J9" s="26"/>
      <c r="K9" s="5">
        <v>1</v>
      </c>
      <c r="L9" s="5">
        <v>1</v>
      </c>
      <c r="M9" s="5">
        <v>1</v>
      </c>
      <c r="N9" s="5">
        <v>1</v>
      </c>
      <c r="O9" s="5">
        <v>1</v>
      </c>
      <c r="P9" s="26"/>
      <c r="Q9" s="4">
        <f t="shared" si="4"/>
        <v>60</v>
      </c>
      <c r="R9" s="4">
        <f t="shared" si="3"/>
        <v>60</v>
      </c>
      <c r="S9" s="4">
        <f t="shared" si="3"/>
        <v>60</v>
      </c>
      <c r="T9" s="4">
        <f t="shared" si="3"/>
        <v>60</v>
      </c>
      <c r="U9" s="27">
        <f t="shared" si="3"/>
        <v>60</v>
      </c>
    </row>
    <row r="10" spans="1:22" ht="30.75" thickBot="1" x14ac:dyDescent="0.3">
      <c r="A10" s="110">
        <v>4</v>
      </c>
      <c r="B10" s="100"/>
      <c r="C10" s="61" t="s">
        <v>34</v>
      </c>
      <c r="D10" s="28"/>
      <c r="E10" s="29">
        <v>0.25</v>
      </c>
      <c r="F10" s="29">
        <v>0</v>
      </c>
      <c r="G10" s="29">
        <f>(200*12)*10%</f>
        <v>240</v>
      </c>
      <c r="H10" s="63">
        <f t="shared" si="1"/>
        <v>240</v>
      </c>
      <c r="I10" s="17">
        <f t="shared" si="2"/>
        <v>60</v>
      </c>
      <c r="J10" s="28"/>
      <c r="K10" s="30">
        <v>1</v>
      </c>
      <c r="L10" s="30">
        <v>1</v>
      </c>
      <c r="M10" s="30">
        <v>1</v>
      </c>
      <c r="N10" s="30">
        <v>1</v>
      </c>
      <c r="O10" s="30">
        <v>1</v>
      </c>
      <c r="P10" s="28"/>
      <c r="Q10" s="29">
        <f t="shared" si="4"/>
        <v>60</v>
      </c>
      <c r="R10" s="29">
        <f t="shared" si="3"/>
        <v>60</v>
      </c>
      <c r="S10" s="29">
        <f t="shared" si="3"/>
        <v>60</v>
      </c>
      <c r="T10" s="29">
        <f t="shared" si="3"/>
        <v>60</v>
      </c>
      <c r="U10" s="31">
        <f t="shared" si="3"/>
        <v>60</v>
      </c>
      <c r="V10" s="20"/>
    </row>
    <row r="11" spans="1:22" ht="15.75" thickBot="1" x14ac:dyDescent="0.3">
      <c r="A11" s="95">
        <v>3</v>
      </c>
      <c r="B11" s="98" t="s">
        <v>35</v>
      </c>
      <c r="C11" s="60" t="s">
        <v>31</v>
      </c>
      <c r="D11" s="21"/>
      <c r="E11" s="22">
        <v>0.25</v>
      </c>
      <c r="F11" s="22">
        <v>0</v>
      </c>
      <c r="G11" s="22">
        <f>20*12</f>
        <v>240</v>
      </c>
      <c r="H11" s="63">
        <f t="shared" si="1"/>
        <v>240</v>
      </c>
      <c r="I11" s="17">
        <f t="shared" si="2"/>
        <v>60</v>
      </c>
      <c r="J11" s="21"/>
      <c r="K11" s="23">
        <v>1</v>
      </c>
      <c r="L11" s="23">
        <v>1</v>
      </c>
      <c r="M11" s="23">
        <v>1</v>
      </c>
      <c r="N11" s="23">
        <v>1</v>
      </c>
      <c r="O11" s="23">
        <v>1</v>
      </c>
      <c r="P11" s="21"/>
      <c r="Q11" s="22">
        <f>$I11*K11</f>
        <v>60</v>
      </c>
      <c r="R11" s="22">
        <f t="shared" si="3"/>
        <v>60</v>
      </c>
      <c r="S11" s="22">
        <f t="shared" si="3"/>
        <v>60</v>
      </c>
      <c r="T11" s="22">
        <f t="shared" si="3"/>
        <v>60</v>
      </c>
      <c r="U11" s="24">
        <f t="shared" si="3"/>
        <v>60</v>
      </c>
    </row>
    <row r="12" spans="1:22" ht="15.75" thickBot="1" x14ac:dyDescent="0.3">
      <c r="A12" s="96"/>
      <c r="B12" s="99"/>
      <c r="C12" s="45" t="s">
        <v>32</v>
      </c>
      <c r="D12" s="26"/>
      <c r="E12" s="4">
        <v>0.5</v>
      </c>
      <c r="F12" s="4">
        <v>0</v>
      </c>
      <c r="G12" s="4">
        <f>20*12</f>
        <v>240</v>
      </c>
      <c r="H12" s="63">
        <f t="shared" si="1"/>
        <v>240</v>
      </c>
      <c r="I12" s="17">
        <f t="shared" si="2"/>
        <v>120</v>
      </c>
      <c r="J12" s="26"/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26"/>
      <c r="Q12" s="4">
        <f t="shared" ref="Q12:Q14" si="5">$I12*K12</f>
        <v>120</v>
      </c>
      <c r="R12" s="4">
        <f t="shared" si="3"/>
        <v>120</v>
      </c>
      <c r="S12" s="4">
        <f t="shared" si="3"/>
        <v>120</v>
      </c>
      <c r="T12" s="4">
        <f t="shared" si="3"/>
        <v>120</v>
      </c>
      <c r="U12" s="27">
        <f t="shared" si="3"/>
        <v>120</v>
      </c>
    </row>
    <row r="13" spans="1:22" ht="15.75" thickBot="1" x14ac:dyDescent="0.3">
      <c r="A13" s="96"/>
      <c r="B13" s="99"/>
      <c r="C13" s="45" t="s">
        <v>33</v>
      </c>
      <c r="D13" s="26"/>
      <c r="E13" s="4">
        <v>0.25</v>
      </c>
      <c r="F13" s="4">
        <v>0</v>
      </c>
      <c r="G13" s="4">
        <f>20*12</f>
        <v>240</v>
      </c>
      <c r="H13" s="63">
        <f t="shared" si="1"/>
        <v>240</v>
      </c>
      <c r="I13" s="17">
        <f t="shared" si="2"/>
        <v>60</v>
      </c>
      <c r="J13" s="26"/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26"/>
      <c r="Q13" s="4">
        <f t="shared" si="5"/>
        <v>60</v>
      </c>
      <c r="R13" s="4">
        <f t="shared" si="3"/>
        <v>60</v>
      </c>
      <c r="S13" s="4">
        <f t="shared" si="3"/>
        <v>60</v>
      </c>
      <c r="T13" s="4">
        <f t="shared" si="3"/>
        <v>60</v>
      </c>
      <c r="U13" s="27">
        <f t="shared" si="3"/>
        <v>60</v>
      </c>
    </row>
    <row r="14" spans="1:22" ht="30.75" thickBot="1" x14ac:dyDescent="0.3">
      <c r="A14" s="97"/>
      <c r="B14" s="100"/>
      <c r="C14" s="61" t="s">
        <v>34</v>
      </c>
      <c r="D14" s="28"/>
      <c r="E14" s="29">
        <v>0.25</v>
      </c>
      <c r="F14" s="29">
        <v>0</v>
      </c>
      <c r="G14" s="29">
        <f>20*12</f>
        <v>240</v>
      </c>
      <c r="H14" s="63">
        <f t="shared" si="1"/>
        <v>240</v>
      </c>
      <c r="I14" s="17">
        <f t="shared" si="2"/>
        <v>60</v>
      </c>
      <c r="J14" s="28"/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28"/>
      <c r="Q14" s="29">
        <f t="shared" si="5"/>
        <v>60</v>
      </c>
      <c r="R14" s="29">
        <f t="shared" si="3"/>
        <v>60</v>
      </c>
      <c r="S14" s="29">
        <f t="shared" si="3"/>
        <v>60</v>
      </c>
      <c r="T14" s="29">
        <f t="shared" si="3"/>
        <v>60</v>
      </c>
      <c r="U14" s="31">
        <f t="shared" si="3"/>
        <v>60</v>
      </c>
      <c r="V14" s="20"/>
    </row>
    <row r="15" spans="1:22" ht="15.75" thickBot="1" x14ac:dyDescent="0.3">
      <c r="A15" s="95">
        <v>4</v>
      </c>
      <c r="B15" s="98" t="s">
        <v>36</v>
      </c>
      <c r="C15" s="60" t="s">
        <v>31</v>
      </c>
      <c r="D15" s="21"/>
      <c r="E15" s="22">
        <v>0.25</v>
      </c>
      <c r="F15" s="22">
        <v>0</v>
      </c>
      <c r="G15" s="22">
        <f>5*12</f>
        <v>60</v>
      </c>
      <c r="H15" s="63">
        <f t="shared" si="1"/>
        <v>60</v>
      </c>
      <c r="I15" s="17">
        <f t="shared" si="2"/>
        <v>15</v>
      </c>
      <c r="J15" s="21"/>
      <c r="K15" s="23">
        <v>1</v>
      </c>
      <c r="L15" s="23">
        <v>1</v>
      </c>
      <c r="M15" s="23">
        <v>1</v>
      </c>
      <c r="N15" s="23">
        <v>1</v>
      </c>
      <c r="O15" s="23">
        <v>1</v>
      </c>
      <c r="P15" s="21"/>
      <c r="Q15" s="22">
        <f>$I15*K15</f>
        <v>15</v>
      </c>
      <c r="R15" s="22">
        <f t="shared" si="3"/>
        <v>15</v>
      </c>
      <c r="S15" s="22">
        <f t="shared" si="3"/>
        <v>15</v>
      </c>
      <c r="T15" s="22">
        <f t="shared" si="3"/>
        <v>15</v>
      </c>
      <c r="U15" s="24">
        <f t="shared" si="3"/>
        <v>15</v>
      </c>
    </row>
    <row r="16" spans="1:22" ht="15.75" thickBot="1" x14ac:dyDescent="0.3">
      <c r="A16" s="96"/>
      <c r="B16" s="99"/>
      <c r="C16" s="45" t="s">
        <v>32</v>
      </c>
      <c r="D16" s="26"/>
      <c r="E16" s="4">
        <v>0.5</v>
      </c>
      <c r="F16" s="4">
        <v>0</v>
      </c>
      <c r="G16" s="4">
        <f>5*12</f>
        <v>60</v>
      </c>
      <c r="H16" s="63">
        <f t="shared" si="1"/>
        <v>60</v>
      </c>
      <c r="I16" s="17">
        <f t="shared" si="2"/>
        <v>30</v>
      </c>
      <c r="J16" s="26"/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26"/>
      <c r="Q16" s="4">
        <f t="shared" ref="Q16:Q20" si="6">$I16*K16</f>
        <v>30</v>
      </c>
      <c r="R16" s="4">
        <f t="shared" si="3"/>
        <v>30</v>
      </c>
      <c r="S16" s="4">
        <f t="shared" si="3"/>
        <v>30</v>
      </c>
      <c r="T16" s="4">
        <f t="shared" si="3"/>
        <v>30</v>
      </c>
      <c r="U16" s="27">
        <f t="shared" si="3"/>
        <v>30</v>
      </c>
    </row>
    <row r="17" spans="1:22" ht="15.75" thickBot="1" x14ac:dyDescent="0.3">
      <c r="A17" s="96"/>
      <c r="B17" s="99"/>
      <c r="C17" s="45" t="s">
        <v>33</v>
      </c>
      <c r="D17" s="26"/>
      <c r="E17" s="4">
        <v>0.25</v>
      </c>
      <c r="F17" s="4">
        <v>0</v>
      </c>
      <c r="G17" s="4">
        <f t="shared" ref="G17:G19" si="7">5*12</f>
        <v>60</v>
      </c>
      <c r="H17" s="63">
        <f t="shared" si="1"/>
        <v>60</v>
      </c>
      <c r="I17" s="17">
        <f t="shared" si="2"/>
        <v>15</v>
      </c>
      <c r="J17" s="26"/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26"/>
      <c r="Q17" s="4">
        <f t="shared" si="6"/>
        <v>15</v>
      </c>
      <c r="R17" s="4">
        <f t="shared" si="3"/>
        <v>15</v>
      </c>
      <c r="S17" s="4">
        <f t="shared" si="3"/>
        <v>15</v>
      </c>
      <c r="T17" s="4">
        <f t="shared" si="3"/>
        <v>15</v>
      </c>
      <c r="U17" s="27">
        <f t="shared" si="3"/>
        <v>15</v>
      </c>
    </row>
    <row r="18" spans="1:22" ht="15.75" thickBot="1" x14ac:dyDescent="0.3">
      <c r="A18" s="96"/>
      <c r="B18" s="99"/>
      <c r="C18" s="45" t="s">
        <v>37</v>
      </c>
      <c r="D18" s="26"/>
      <c r="E18" s="4">
        <v>0.25</v>
      </c>
      <c r="F18" s="4">
        <v>0</v>
      </c>
      <c r="G18" s="4">
        <f t="shared" si="7"/>
        <v>60</v>
      </c>
      <c r="H18" s="63">
        <f t="shared" si="1"/>
        <v>60</v>
      </c>
      <c r="I18" s="17">
        <f t="shared" si="2"/>
        <v>15</v>
      </c>
      <c r="J18" s="26"/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26"/>
      <c r="Q18" s="4">
        <f t="shared" si="6"/>
        <v>15</v>
      </c>
      <c r="R18" s="4">
        <f t="shared" si="3"/>
        <v>15</v>
      </c>
      <c r="S18" s="4">
        <f t="shared" si="3"/>
        <v>15</v>
      </c>
      <c r="T18" s="4">
        <f t="shared" si="3"/>
        <v>15</v>
      </c>
      <c r="U18" s="27">
        <f t="shared" si="3"/>
        <v>15</v>
      </c>
    </row>
    <row r="19" spans="1:22" ht="30.75" thickBot="1" x14ac:dyDescent="0.3">
      <c r="A19" s="96"/>
      <c r="B19" s="99"/>
      <c r="C19" s="45" t="s">
        <v>38</v>
      </c>
      <c r="D19" s="26"/>
      <c r="E19" s="4">
        <v>0.5</v>
      </c>
      <c r="F19" s="4">
        <v>0</v>
      </c>
      <c r="G19" s="4">
        <f t="shared" si="7"/>
        <v>60</v>
      </c>
      <c r="H19" s="63">
        <f t="shared" si="1"/>
        <v>60</v>
      </c>
      <c r="I19" s="17">
        <f t="shared" si="2"/>
        <v>30</v>
      </c>
      <c r="J19" s="26"/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26"/>
      <c r="Q19" s="4">
        <f t="shared" si="6"/>
        <v>30</v>
      </c>
      <c r="R19" s="4">
        <f t="shared" si="3"/>
        <v>30</v>
      </c>
      <c r="S19" s="4">
        <f t="shared" si="3"/>
        <v>30</v>
      </c>
      <c r="T19" s="4">
        <f t="shared" si="3"/>
        <v>30</v>
      </c>
      <c r="U19" s="27">
        <f t="shared" si="3"/>
        <v>30</v>
      </c>
    </row>
    <row r="20" spans="1:22" ht="30.75" thickBot="1" x14ac:dyDescent="0.3">
      <c r="A20" s="97"/>
      <c r="B20" s="100"/>
      <c r="C20" s="61" t="s">
        <v>39</v>
      </c>
      <c r="D20" s="28"/>
      <c r="E20" s="29">
        <v>0.25</v>
      </c>
      <c r="F20" s="29">
        <v>0</v>
      </c>
      <c r="G20" s="29">
        <f>((150*5)*10%)*12</f>
        <v>900</v>
      </c>
      <c r="H20" s="63">
        <f t="shared" si="1"/>
        <v>900</v>
      </c>
      <c r="I20" s="17">
        <f t="shared" si="2"/>
        <v>225</v>
      </c>
      <c r="J20" s="28"/>
      <c r="K20" s="30">
        <v>1</v>
      </c>
      <c r="L20" s="30">
        <v>1</v>
      </c>
      <c r="M20" s="30">
        <v>1</v>
      </c>
      <c r="N20" s="30">
        <v>1</v>
      </c>
      <c r="O20" s="30">
        <v>1</v>
      </c>
      <c r="P20" s="28"/>
      <c r="Q20" s="29">
        <f t="shared" si="6"/>
        <v>225</v>
      </c>
      <c r="R20" s="29">
        <f t="shared" si="3"/>
        <v>225</v>
      </c>
      <c r="S20" s="29">
        <f t="shared" si="3"/>
        <v>225</v>
      </c>
      <c r="T20" s="29">
        <f t="shared" si="3"/>
        <v>225</v>
      </c>
      <c r="U20" s="31">
        <f t="shared" si="3"/>
        <v>225</v>
      </c>
      <c r="V20" s="20"/>
    </row>
    <row r="21" spans="1:22" ht="45.75" thickBot="1" x14ac:dyDescent="0.3">
      <c r="A21" s="15">
        <v>5</v>
      </c>
      <c r="B21" s="62" t="s">
        <v>40</v>
      </c>
      <c r="C21" s="59" t="s">
        <v>41</v>
      </c>
      <c r="D21" s="16"/>
      <c r="E21" s="17">
        <v>0.25</v>
      </c>
      <c r="F21" s="17">
        <v>0</v>
      </c>
      <c r="G21" s="17">
        <f>(225*12)*5%</f>
        <v>135</v>
      </c>
      <c r="H21" s="63">
        <f t="shared" si="1"/>
        <v>135</v>
      </c>
      <c r="I21" s="17">
        <f t="shared" si="2"/>
        <v>33.75</v>
      </c>
      <c r="J21" s="16"/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6"/>
      <c r="Q21" s="17">
        <f>$I21*K21</f>
        <v>33.75</v>
      </c>
      <c r="R21" s="17">
        <f t="shared" si="3"/>
        <v>33.75</v>
      </c>
      <c r="S21" s="17">
        <f t="shared" si="3"/>
        <v>33.75</v>
      </c>
      <c r="T21" s="17">
        <f t="shared" si="3"/>
        <v>33.75</v>
      </c>
      <c r="U21" s="19">
        <f t="shared" si="3"/>
        <v>33.75</v>
      </c>
      <c r="V21" s="20"/>
    </row>
    <row r="22" spans="1:22" ht="15.75" thickBot="1" x14ac:dyDescent="0.3">
      <c r="A22" s="95">
        <v>6</v>
      </c>
      <c r="B22" s="98" t="s">
        <v>42</v>
      </c>
      <c r="C22" s="60" t="s">
        <v>32</v>
      </c>
      <c r="D22" s="21"/>
      <c r="E22" s="22">
        <v>0.5</v>
      </c>
      <c r="F22" s="22">
        <v>0</v>
      </c>
      <c r="G22" s="22">
        <f>(225*12)*10%</f>
        <v>270</v>
      </c>
      <c r="H22" s="63">
        <f t="shared" si="1"/>
        <v>270</v>
      </c>
      <c r="I22" s="17">
        <f t="shared" si="2"/>
        <v>135</v>
      </c>
      <c r="J22" s="21"/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1"/>
      <c r="Q22" s="22">
        <f>$I22*K22</f>
        <v>135</v>
      </c>
      <c r="R22" s="22">
        <f t="shared" si="3"/>
        <v>135</v>
      </c>
      <c r="S22" s="22">
        <f t="shared" si="3"/>
        <v>135</v>
      </c>
      <c r="T22" s="22">
        <f t="shared" si="3"/>
        <v>135</v>
      </c>
      <c r="U22" s="24">
        <f t="shared" si="3"/>
        <v>135</v>
      </c>
    </row>
    <row r="23" spans="1:22" ht="15.75" thickBot="1" x14ac:dyDescent="0.3">
      <c r="A23" s="96"/>
      <c r="B23" s="99"/>
      <c r="C23" s="45" t="s">
        <v>43</v>
      </c>
      <c r="D23" s="26"/>
      <c r="E23" s="4">
        <v>0.25</v>
      </c>
      <c r="F23" s="4">
        <v>0</v>
      </c>
      <c r="G23" s="4">
        <v>12</v>
      </c>
      <c r="H23" s="63">
        <f t="shared" si="1"/>
        <v>12</v>
      </c>
      <c r="I23" s="17">
        <f t="shared" si="2"/>
        <v>3</v>
      </c>
      <c r="J23" s="26"/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26"/>
      <c r="Q23" s="4">
        <f>$I23*K23</f>
        <v>3</v>
      </c>
      <c r="R23" s="4">
        <f t="shared" ref="R23:U28" si="8">$I23*L23</f>
        <v>3</v>
      </c>
      <c r="S23" s="4">
        <f t="shared" si="8"/>
        <v>3</v>
      </c>
      <c r="T23" s="4">
        <f t="shared" si="8"/>
        <v>3</v>
      </c>
      <c r="U23" s="27">
        <f t="shared" si="8"/>
        <v>3</v>
      </c>
    </row>
    <row r="24" spans="1:22" ht="30.75" thickBot="1" x14ac:dyDescent="0.3">
      <c r="A24" s="96"/>
      <c r="B24" s="99"/>
      <c r="C24" s="45" t="s">
        <v>44</v>
      </c>
      <c r="D24" s="26"/>
      <c r="E24" s="4">
        <v>0.25</v>
      </c>
      <c r="F24" s="4">
        <v>0</v>
      </c>
      <c r="G24" s="4">
        <v>52</v>
      </c>
      <c r="H24" s="63">
        <f t="shared" si="1"/>
        <v>52</v>
      </c>
      <c r="I24" s="17">
        <f t="shared" si="2"/>
        <v>13</v>
      </c>
      <c r="J24" s="26"/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26"/>
      <c r="Q24" s="4">
        <f t="shared" ref="Q24:Q28" si="9">$I24*K24</f>
        <v>13</v>
      </c>
      <c r="R24" s="4">
        <f t="shared" si="8"/>
        <v>13</v>
      </c>
      <c r="S24" s="4">
        <f t="shared" si="8"/>
        <v>13</v>
      </c>
      <c r="T24" s="4">
        <f t="shared" si="8"/>
        <v>13</v>
      </c>
      <c r="U24" s="27">
        <f>$I24*O24</f>
        <v>13</v>
      </c>
    </row>
    <row r="25" spans="1:22" ht="60.75" thickBot="1" x14ac:dyDescent="0.3">
      <c r="A25" s="96"/>
      <c r="B25" s="99"/>
      <c r="C25" s="45" t="s">
        <v>45</v>
      </c>
      <c r="D25" s="26"/>
      <c r="E25" s="4">
        <v>1</v>
      </c>
      <c r="F25" s="4">
        <v>0</v>
      </c>
      <c r="G25" s="4">
        <v>12</v>
      </c>
      <c r="H25" s="63">
        <f t="shared" si="1"/>
        <v>12</v>
      </c>
      <c r="I25" s="17">
        <f t="shared" si="2"/>
        <v>12</v>
      </c>
      <c r="J25" s="26"/>
      <c r="K25" s="5">
        <v>1</v>
      </c>
      <c r="L25" s="5">
        <v>1</v>
      </c>
      <c r="M25" s="5">
        <v>0</v>
      </c>
      <c r="N25" s="5">
        <v>0</v>
      </c>
      <c r="O25" s="5">
        <v>0</v>
      </c>
      <c r="P25" s="26"/>
      <c r="Q25" s="4">
        <f t="shared" si="9"/>
        <v>12</v>
      </c>
      <c r="R25" s="4">
        <f t="shared" si="8"/>
        <v>12</v>
      </c>
      <c r="S25" s="4">
        <f t="shared" si="8"/>
        <v>0</v>
      </c>
      <c r="T25" s="4">
        <f t="shared" si="8"/>
        <v>0</v>
      </c>
      <c r="U25" s="27">
        <v>12</v>
      </c>
    </row>
    <row r="26" spans="1:22" ht="30.75" thickBot="1" x14ac:dyDescent="0.3">
      <c r="A26" s="97"/>
      <c r="B26" s="100"/>
      <c r="C26" s="61" t="s">
        <v>46</v>
      </c>
      <c r="D26" s="28"/>
      <c r="E26" s="29">
        <v>0.5</v>
      </c>
      <c r="F26" s="29">
        <v>0</v>
      </c>
      <c r="G26" s="29">
        <v>780</v>
      </c>
      <c r="H26" s="63">
        <f t="shared" si="1"/>
        <v>780</v>
      </c>
      <c r="I26" s="17">
        <f t="shared" si="2"/>
        <v>390</v>
      </c>
      <c r="J26" s="28"/>
      <c r="K26" s="30">
        <v>1</v>
      </c>
      <c r="L26" s="30">
        <v>1</v>
      </c>
      <c r="M26" s="30">
        <v>1</v>
      </c>
      <c r="N26" s="30">
        <v>1</v>
      </c>
      <c r="O26" s="30">
        <v>1</v>
      </c>
      <c r="P26" s="28"/>
      <c r="Q26" s="29">
        <f t="shared" si="9"/>
        <v>390</v>
      </c>
      <c r="R26" s="29">
        <f t="shared" si="8"/>
        <v>390</v>
      </c>
      <c r="S26" s="29">
        <f t="shared" si="8"/>
        <v>390</v>
      </c>
      <c r="T26" s="29">
        <f t="shared" si="8"/>
        <v>390</v>
      </c>
      <c r="U26" s="31">
        <f t="shared" si="8"/>
        <v>390</v>
      </c>
      <c r="V26" s="20"/>
    </row>
    <row r="27" spans="1:22" ht="15.75" thickBot="1" x14ac:dyDescent="0.3">
      <c r="A27" s="32">
        <v>7</v>
      </c>
      <c r="B27" s="59" t="s">
        <v>47</v>
      </c>
      <c r="C27" s="59"/>
      <c r="D27" s="16"/>
      <c r="E27" s="17">
        <v>0.1</v>
      </c>
      <c r="F27" s="17">
        <v>0</v>
      </c>
      <c r="G27" s="17">
        <f>(225*12)*5%</f>
        <v>135</v>
      </c>
      <c r="H27" s="63">
        <f t="shared" si="1"/>
        <v>135</v>
      </c>
      <c r="I27" s="17">
        <f t="shared" si="2"/>
        <v>13.5</v>
      </c>
      <c r="J27" s="16"/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6"/>
      <c r="Q27" s="17">
        <f t="shared" si="9"/>
        <v>13.5</v>
      </c>
      <c r="R27" s="17">
        <f t="shared" si="8"/>
        <v>13.5</v>
      </c>
      <c r="S27" s="17">
        <f t="shared" si="8"/>
        <v>13.5</v>
      </c>
      <c r="T27" s="17">
        <f t="shared" si="8"/>
        <v>13.5</v>
      </c>
      <c r="U27" s="19">
        <f t="shared" si="8"/>
        <v>13.5</v>
      </c>
    </row>
    <row r="28" spans="1:22" s="10" customFormat="1" ht="15.75" thickBot="1" x14ac:dyDescent="0.3">
      <c r="A28" s="32">
        <v>8</v>
      </c>
      <c r="B28" s="59" t="s">
        <v>48</v>
      </c>
      <c r="C28" s="59"/>
      <c r="D28" s="33"/>
      <c r="E28" s="17">
        <v>0.5</v>
      </c>
      <c r="F28" s="17">
        <v>0</v>
      </c>
      <c r="G28" s="17">
        <f>(225*12)*5%</f>
        <v>135</v>
      </c>
      <c r="H28" s="63">
        <f t="shared" si="1"/>
        <v>135</v>
      </c>
      <c r="I28" s="17">
        <f t="shared" si="2"/>
        <v>67.5</v>
      </c>
      <c r="J28" s="33"/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33"/>
      <c r="Q28" s="22">
        <f t="shared" si="9"/>
        <v>67.5</v>
      </c>
      <c r="R28" s="22">
        <f t="shared" si="8"/>
        <v>67.5</v>
      </c>
      <c r="S28" s="22">
        <f t="shared" si="8"/>
        <v>67.5</v>
      </c>
      <c r="T28" s="22">
        <f t="shared" si="8"/>
        <v>67.5</v>
      </c>
      <c r="U28" s="24">
        <f t="shared" si="8"/>
        <v>67.5</v>
      </c>
      <c r="V28" s="12"/>
    </row>
    <row r="29" spans="1:22" x14ac:dyDescent="0.25">
      <c r="F29" s="51"/>
    </row>
    <row r="30" spans="1:22" x14ac:dyDescent="0.25">
      <c r="A30" s="34" t="s">
        <v>49</v>
      </c>
      <c r="B30" s="35" t="s">
        <v>50</v>
      </c>
      <c r="C30" s="36"/>
      <c r="E30" s="104" t="s">
        <v>4</v>
      </c>
      <c r="F30" s="105"/>
      <c r="G30" s="105"/>
      <c r="H30" s="105"/>
      <c r="I30" s="106"/>
      <c r="O30" s="10" t="s">
        <v>100</v>
      </c>
      <c r="Q30" s="65">
        <f>SUM(Q6:Q28)</f>
        <v>1624.75</v>
      </c>
      <c r="R30" s="65">
        <f>SUM(R6:R28)</f>
        <v>1624.75</v>
      </c>
      <c r="S30" s="65">
        <f>SUM(S6:S28)</f>
        <v>1612.75</v>
      </c>
      <c r="T30" s="65">
        <f>SUM(T6:T28)</f>
        <v>1612.75</v>
      </c>
      <c r="U30" s="65">
        <f>SUM(U6:U28)</f>
        <v>1624.75</v>
      </c>
    </row>
    <row r="31" spans="1:22" x14ac:dyDescent="0.25">
      <c r="A31" s="3" t="s">
        <v>51</v>
      </c>
      <c r="B31" s="37" t="s">
        <v>52</v>
      </c>
      <c r="C31" s="38"/>
      <c r="E31" s="107" t="s">
        <v>53</v>
      </c>
      <c r="F31" s="107"/>
      <c r="G31" s="107"/>
      <c r="H31" s="107"/>
      <c r="I31" s="107"/>
      <c r="O31" s="10" t="s">
        <v>101</v>
      </c>
      <c r="Q31" s="64">
        <f>Q30/$Q$33</f>
        <v>0.94188405797101449</v>
      </c>
      <c r="R31" s="64">
        <f>R30/$Q$33</f>
        <v>0.94188405797101449</v>
      </c>
      <c r="S31" s="64">
        <f>S30/$Q$33</f>
        <v>0.93492753623188407</v>
      </c>
      <c r="T31" s="64">
        <f>T30/$Q$33</f>
        <v>0.93492753623188407</v>
      </c>
      <c r="U31" s="64">
        <f>U30/$Q$33</f>
        <v>0.94188405797101449</v>
      </c>
    </row>
    <row r="32" spans="1:22" x14ac:dyDescent="0.25">
      <c r="A32" s="3" t="s">
        <v>54</v>
      </c>
      <c r="B32" s="37" t="s">
        <v>55</v>
      </c>
      <c r="C32" s="38"/>
      <c r="E32" s="39" t="s">
        <v>56</v>
      </c>
      <c r="F32" s="40"/>
      <c r="G32" s="52"/>
      <c r="H32" s="40"/>
      <c r="I32" s="41"/>
    </row>
    <row r="33" spans="1:17" x14ac:dyDescent="0.25">
      <c r="A33" s="3"/>
      <c r="B33" s="37"/>
      <c r="C33" s="38"/>
      <c r="E33" s="39" t="s">
        <v>57</v>
      </c>
      <c r="F33" s="40"/>
      <c r="G33" s="52"/>
      <c r="H33" s="40"/>
      <c r="I33" s="41"/>
      <c r="N33" s="10" t="s">
        <v>102</v>
      </c>
      <c r="Q33">
        <f>46*37.5</f>
        <v>1725</v>
      </c>
    </row>
    <row r="34" spans="1:17" x14ac:dyDescent="0.25">
      <c r="A34" s="3"/>
      <c r="B34" s="37"/>
      <c r="C34" s="38"/>
      <c r="E34" s="101" t="s">
        <v>58</v>
      </c>
      <c r="F34" s="102"/>
      <c r="G34" s="102"/>
      <c r="H34" s="102"/>
      <c r="I34" s="103"/>
    </row>
    <row r="35" spans="1:17" x14ac:dyDescent="0.25">
      <c r="E35" s="107" t="s">
        <v>59</v>
      </c>
      <c r="F35" s="107"/>
      <c r="G35" s="107"/>
      <c r="H35" s="107"/>
      <c r="I35" s="107"/>
    </row>
    <row r="36" spans="1:17" x14ac:dyDescent="0.25">
      <c r="E36" s="107" t="s">
        <v>60</v>
      </c>
      <c r="F36" s="107"/>
      <c r="G36" s="107"/>
      <c r="H36" s="107"/>
      <c r="I36" s="107"/>
    </row>
    <row r="37" spans="1:17" x14ac:dyDescent="0.25">
      <c r="E37" s="39" t="s">
        <v>61</v>
      </c>
      <c r="F37" s="40"/>
      <c r="G37" s="52"/>
      <c r="H37" s="40"/>
      <c r="I37" s="41"/>
    </row>
    <row r="38" spans="1:17" x14ac:dyDescent="0.25">
      <c r="E38" s="39" t="s">
        <v>62</v>
      </c>
      <c r="F38" s="40"/>
      <c r="G38" s="52"/>
      <c r="H38" s="40"/>
      <c r="I38" s="41"/>
    </row>
    <row r="39" spans="1:17" x14ac:dyDescent="0.25">
      <c r="E39" s="101" t="s">
        <v>63</v>
      </c>
      <c r="F39" s="102"/>
      <c r="G39" s="102"/>
      <c r="H39" s="102"/>
      <c r="I39" s="103"/>
    </row>
    <row r="40" spans="1:17" x14ac:dyDescent="0.25">
      <c r="E40" s="101" t="s">
        <v>64</v>
      </c>
      <c r="F40" s="102"/>
      <c r="G40" s="102"/>
      <c r="H40" s="102"/>
      <c r="I40" s="103"/>
    </row>
  </sheetData>
  <mergeCells count="20">
    <mergeCell ref="A1:B2"/>
    <mergeCell ref="B3:C3"/>
    <mergeCell ref="F4:I4"/>
    <mergeCell ref="K4:O4"/>
    <mergeCell ref="Q4:U4"/>
    <mergeCell ref="A11:A14"/>
    <mergeCell ref="B11:B14"/>
    <mergeCell ref="A15:A20"/>
    <mergeCell ref="B15:B20"/>
    <mergeCell ref="A7:A10"/>
    <mergeCell ref="B7:B10"/>
    <mergeCell ref="A22:A26"/>
    <mergeCell ref="B22:B26"/>
    <mergeCell ref="E40:I40"/>
    <mergeCell ref="E30:I30"/>
    <mergeCell ref="E31:I31"/>
    <mergeCell ref="E34:I34"/>
    <mergeCell ref="E35:I35"/>
    <mergeCell ref="E36:I36"/>
    <mergeCell ref="E39:I3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80" zoomScaleNormal="80" workbookViewId="0">
      <selection activeCell="R24" sqref="R24"/>
    </sheetView>
  </sheetViews>
  <sheetFormatPr defaultRowHeight="15" x14ac:dyDescent="0.25"/>
  <cols>
    <col min="2" max="2" width="32.7109375" bestFit="1" customWidth="1"/>
    <col min="3" max="3" width="72.42578125" bestFit="1" customWidth="1"/>
    <col min="4" max="4" width="4.85546875" customWidth="1"/>
    <col min="5" max="10" width="14.28515625" customWidth="1"/>
    <col min="11" max="11" width="2.42578125" customWidth="1"/>
    <col min="17" max="17" width="3.7109375" customWidth="1"/>
    <col min="18" max="18" width="9.28515625" bestFit="1" customWidth="1"/>
    <col min="19" max="22" width="10.140625" bestFit="1" customWidth="1"/>
  </cols>
  <sheetData>
    <row r="1" spans="1:22" x14ac:dyDescent="0.25">
      <c r="A1" s="111" t="s">
        <v>3</v>
      </c>
      <c r="B1" s="111"/>
    </row>
    <row r="2" spans="1:22" x14ac:dyDescent="0.25">
      <c r="A2" s="111"/>
      <c r="B2" s="111"/>
    </row>
    <row r="3" spans="1:22" ht="28.5" x14ac:dyDescent="0.25">
      <c r="A3" s="2"/>
      <c r="B3" s="119" t="s">
        <v>14</v>
      </c>
      <c r="C3" s="120"/>
    </row>
    <row r="4" spans="1:22" s="10" customFormat="1" x14ac:dyDescent="0.25">
      <c r="A4" s="9" t="s">
        <v>11</v>
      </c>
      <c r="B4" s="9"/>
      <c r="C4" s="9"/>
      <c r="E4" s="55" t="s">
        <v>87</v>
      </c>
      <c r="F4" s="86"/>
      <c r="G4" s="114" t="s">
        <v>7</v>
      </c>
      <c r="H4" s="114"/>
      <c r="I4" s="114"/>
      <c r="J4" s="114"/>
      <c r="L4" s="115" t="s">
        <v>10</v>
      </c>
      <c r="M4" s="115"/>
      <c r="N4" s="115"/>
      <c r="O4" s="115"/>
      <c r="P4" s="115"/>
      <c r="R4" s="115" t="s">
        <v>122</v>
      </c>
      <c r="S4" s="115"/>
      <c r="T4" s="115"/>
      <c r="U4" s="115"/>
      <c r="V4" s="115"/>
    </row>
    <row r="5" spans="1:22" s="8" customFormat="1" ht="47.25" x14ac:dyDescent="0.25">
      <c r="A5" s="6" t="s">
        <v>9</v>
      </c>
      <c r="B5" s="6" t="s">
        <v>90</v>
      </c>
      <c r="C5" s="6" t="s">
        <v>5</v>
      </c>
      <c r="E5" s="6" t="s">
        <v>89</v>
      </c>
      <c r="F5" s="6" t="s">
        <v>117</v>
      </c>
      <c r="G5" s="6" t="s">
        <v>8</v>
      </c>
      <c r="H5" s="6" t="s">
        <v>118</v>
      </c>
      <c r="I5" s="6" t="s">
        <v>94</v>
      </c>
      <c r="J5" s="6" t="s">
        <v>119</v>
      </c>
      <c r="L5" s="7">
        <v>2016</v>
      </c>
      <c r="M5" s="7">
        <v>2017</v>
      </c>
      <c r="N5" s="7">
        <v>2018</v>
      </c>
      <c r="O5" s="7">
        <v>2019</v>
      </c>
      <c r="P5" s="7">
        <v>2020</v>
      </c>
      <c r="R5" s="7">
        <v>2016</v>
      </c>
      <c r="S5" s="7">
        <v>2017</v>
      </c>
      <c r="T5" s="7">
        <v>2018</v>
      </c>
      <c r="U5" s="7">
        <v>2019</v>
      </c>
      <c r="V5" s="7">
        <v>2020</v>
      </c>
    </row>
    <row r="6" spans="1:22" ht="19.5" customHeight="1" x14ac:dyDescent="0.25">
      <c r="A6" s="4">
        <v>1</v>
      </c>
      <c r="B6" s="116" t="s">
        <v>15</v>
      </c>
      <c r="C6" s="80" t="s">
        <v>19</v>
      </c>
      <c r="E6" s="4">
        <v>100</v>
      </c>
      <c r="F6" s="4" t="s">
        <v>26</v>
      </c>
      <c r="G6" s="81">
        <v>0</v>
      </c>
      <c r="H6" s="81">
        <f t="shared" ref="H6:H11" si="0">E6</f>
        <v>100</v>
      </c>
      <c r="I6" s="81">
        <f t="shared" ref="I6:I13" si="1">H6-G6</f>
        <v>100</v>
      </c>
      <c r="J6" s="81">
        <f>I6</f>
        <v>100</v>
      </c>
      <c r="L6" s="5">
        <v>0.5</v>
      </c>
      <c r="M6" s="5">
        <v>1</v>
      </c>
      <c r="N6" s="5">
        <v>1</v>
      </c>
      <c r="O6" s="5">
        <v>1</v>
      </c>
      <c r="P6" s="5">
        <v>1</v>
      </c>
      <c r="R6" s="4">
        <f>$J6*L6</f>
        <v>50</v>
      </c>
      <c r="S6" s="4">
        <f t="shared" ref="S6:V6" si="2">$J6*M6</f>
        <v>100</v>
      </c>
      <c r="T6" s="4">
        <f t="shared" si="2"/>
        <v>100</v>
      </c>
      <c r="U6" s="4">
        <f t="shared" si="2"/>
        <v>100</v>
      </c>
      <c r="V6" s="4">
        <f t="shared" si="2"/>
        <v>100</v>
      </c>
    </row>
    <row r="7" spans="1:22" ht="19.5" customHeight="1" x14ac:dyDescent="0.25">
      <c r="A7" s="4">
        <v>2</v>
      </c>
      <c r="B7" s="117"/>
      <c r="C7" s="80" t="s">
        <v>20</v>
      </c>
      <c r="E7" s="4">
        <v>100</v>
      </c>
      <c r="F7" s="4" t="s">
        <v>26</v>
      </c>
      <c r="G7" s="81">
        <v>0</v>
      </c>
      <c r="H7" s="81">
        <f t="shared" si="0"/>
        <v>100</v>
      </c>
      <c r="I7" s="81">
        <f t="shared" si="1"/>
        <v>100</v>
      </c>
      <c r="J7" s="81">
        <f t="shared" ref="J7:J13" si="3">I7</f>
        <v>100</v>
      </c>
      <c r="L7" s="5">
        <v>0.5</v>
      </c>
      <c r="M7" s="5">
        <v>1</v>
      </c>
      <c r="N7" s="5">
        <v>1</v>
      </c>
      <c r="O7" s="5">
        <v>1</v>
      </c>
      <c r="P7" s="5">
        <v>1</v>
      </c>
      <c r="R7" s="4">
        <f t="shared" ref="R7:R16" si="4">$J7*L7</f>
        <v>50</v>
      </c>
      <c r="S7" s="4">
        <f t="shared" ref="S7:S16" si="5">$J7*M7</f>
        <v>100</v>
      </c>
      <c r="T7" s="4">
        <f t="shared" ref="T7:T16" si="6">$J7*N7</f>
        <v>100</v>
      </c>
      <c r="U7" s="4">
        <f t="shared" ref="U7:U16" si="7">$J7*O7</f>
        <v>100</v>
      </c>
      <c r="V7" s="4">
        <f t="shared" ref="V7:V16" si="8">$J7*P7</f>
        <v>100</v>
      </c>
    </row>
    <row r="8" spans="1:22" ht="19.5" customHeight="1" x14ac:dyDescent="0.25">
      <c r="A8" s="4">
        <v>3</v>
      </c>
      <c r="B8" s="117"/>
      <c r="C8" s="80" t="s">
        <v>21</v>
      </c>
      <c r="E8" s="4">
        <v>50</v>
      </c>
      <c r="F8" s="4" t="s">
        <v>26</v>
      </c>
      <c r="G8" s="81">
        <v>0</v>
      </c>
      <c r="H8" s="81">
        <f t="shared" si="0"/>
        <v>50</v>
      </c>
      <c r="I8" s="81">
        <f t="shared" si="1"/>
        <v>50</v>
      </c>
      <c r="J8" s="81">
        <f t="shared" si="3"/>
        <v>50</v>
      </c>
      <c r="L8" s="5">
        <v>0.5</v>
      </c>
      <c r="M8" s="5">
        <v>1</v>
      </c>
      <c r="N8" s="5">
        <v>1</v>
      </c>
      <c r="O8" s="5">
        <v>1</v>
      </c>
      <c r="P8" s="5">
        <v>1</v>
      </c>
      <c r="R8" s="4">
        <f t="shared" si="4"/>
        <v>25</v>
      </c>
      <c r="S8" s="4">
        <f t="shared" si="5"/>
        <v>50</v>
      </c>
      <c r="T8" s="4">
        <f t="shared" si="6"/>
        <v>50</v>
      </c>
      <c r="U8" s="4">
        <f t="shared" si="7"/>
        <v>50</v>
      </c>
      <c r="V8" s="4">
        <f t="shared" si="8"/>
        <v>50</v>
      </c>
    </row>
    <row r="9" spans="1:22" ht="19.5" customHeight="1" x14ac:dyDescent="0.25">
      <c r="A9" s="4">
        <v>4</v>
      </c>
      <c r="B9" s="118"/>
      <c r="C9" s="80" t="s">
        <v>112</v>
      </c>
      <c r="E9" s="4">
        <v>200</v>
      </c>
      <c r="F9" s="4" t="s">
        <v>26</v>
      </c>
      <c r="G9" s="81">
        <v>0</v>
      </c>
      <c r="H9" s="81">
        <f t="shared" si="0"/>
        <v>200</v>
      </c>
      <c r="I9" s="81">
        <f t="shared" si="1"/>
        <v>200</v>
      </c>
      <c r="J9" s="81">
        <f t="shared" si="3"/>
        <v>200</v>
      </c>
      <c r="L9" s="5">
        <v>0.5</v>
      </c>
      <c r="M9" s="5">
        <v>1</v>
      </c>
      <c r="N9" s="5">
        <v>1</v>
      </c>
      <c r="O9" s="5">
        <v>1</v>
      </c>
      <c r="P9" s="5">
        <v>1</v>
      </c>
      <c r="R9" s="4">
        <f t="shared" si="4"/>
        <v>100</v>
      </c>
      <c r="S9" s="4">
        <f t="shared" si="5"/>
        <v>200</v>
      </c>
      <c r="T9" s="4">
        <f t="shared" si="6"/>
        <v>200</v>
      </c>
      <c r="U9" s="4">
        <f t="shared" si="7"/>
        <v>200</v>
      </c>
      <c r="V9" s="4">
        <f t="shared" si="8"/>
        <v>200</v>
      </c>
    </row>
    <row r="10" spans="1:22" ht="19.5" customHeight="1" x14ac:dyDescent="0.25">
      <c r="A10" s="4">
        <v>5</v>
      </c>
      <c r="B10" s="116" t="s">
        <v>16</v>
      </c>
      <c r="C10" s="80" t="s">
        <v>22</v>
      </c>
      <c r="E10" s="4">
        <v>300</v>
      </c>
      <c r="F10" s="4" t="s">
        <v>26</v>
      </c>
      <c r="G10" s="81">
        <v>0</v>
      </c>
      <c r="H10" s="81">
        <f t="shared" si="0"/>
        <v>300</v>
      </c>
      <c r="I10" s="81">
        <f t="shared" si="1"/>
        <v>300</v>
      </c>
      <c r="J10" s="81">
        <f t="shared" si="3"/>
        <v>300</v>
      </c>
      <c r="L10" s="5">
        <v>0.25</v>
      </c>
      <c r="M10" s="5">
        <v>1</v>
      </c>
      <c r="N10" s="5">
        <v>1</v>
      </c>
      <c r="O10" s="5">
        <v>1</v>
      </c>
      <c r="P10" s="5">
        <v>1</v>
      </c>
      <c r="R10" s="4">
        <f t="shared" si="4"/>
        <v>75</v>
      </c>
      <c r="S10" s="4">
        <f t="shared" si="5"/>
        <v>300</v>
      </c>
      <c r="T10" s="4">
        <f t="shared" si="6"/>
        <v>300</v>
      </c>
      <c r="U10" s="4">
        <f t="shared" si="7"/>
        <v>300</v>
      </c>
      <c r="V10" s="4">
        <f t="shared" si="8"/>
        <v>300</v>
      </c>
    </row>
    <row r="11" spans="1:22" ht="19.5" customHeight="1" x14ac:dyDescent="0.25">
      <c r="A11" s="4">
        <v>6</v>
      </c>
      <c r="B11" s="118"/>
      <c r="C11" s="80" t="s">
        <v>23</v>
      </c>
      <c r="E11" s="4">
        <v>300</v>
      </c>
      <c r="F11" s="4" t="s">
        <v>26</v>
      </c>
      <c r="G11" s="81">
        <v>0</v>
      </c>
      <c r="H11" s="81">
        <f t="shared" si="0"/>
        <v>300</v>
      </c>
      <c r="I11" s="81">
        <f t="shared" si="1"/>
        <v>300</v>
      </c>
      <c r="J11" s="81">
        <f t="shared" si="3"/>
        <v>300</v>
      </c>
      <c r="L11" s="5">
        <v>0.25</v>
      </c>
      <c r="M11" s="5">
        <v>1</v>
      </c>
      <c r="N11" s="5">
        <v>1</v>
      </c>
      <c r="O11" s="5">
        <v>1</v>
      </c>
      <c r="P11" s="5">
        <v>1</v>
      </c>
      <c r="R11" s="4">
        <f t="shared" si="4"/>
        <v>75</v>
      </c>
      <c r="S11" s="4">
        <f t="shared" si="5"/>
        <v>300</v>
      </c>
      <c r="T11" s="4">
        <f t="shared" si="6"/>
        <v>300</v>
      </c>
      <c r="U11" s="4">
        <f t="shared" si="7"/>
        <v>300</v>
      </c>
      <c r="V11" s="4">
        <f t="shared" si="8"/>
        <v>300</v>
      </c>
    </row>
    <row r="12" spans="1:22" ht="19.5" customHeight="1" x14ac:dyDescent="0.25">
      <c r="A12" s="4">
        <v>7</v>
      </c>
      <c r="B12" s="116" t="s">
        <v>18</v>
      </c>
      <c r="C12" s="80" t="s">
        <v>113</v>
      </c>
      <c r="E12" s="4">
        <v>8</v>
      </c>
      <c r="F12" s="4" t="s">
        <v>27</v>
      </c>
      <c r="G12" s="81">
        <v>0</v>
      </c>
      <c r="H12" s="81">
        <f>E12*12</f>
        <v>96</v>
      </c>
      <c r="I12" s="81">
        <f t="shared" si="1"/>
        <v>96</v>
      </c>
      <c r="J12" s="81">
        <f t="shared" si="3"/>
        <v>96</v>
      </c>
      <c r="L12" s="5">
        <v>0.25</v>
      </c>
      <c r="M12" s="5">
        <v>1</v>
      </c>
      <c r="N12" s="5">
        <v>1</v>
      </c>
      <c r="O12" s="5">
        <v>1</v>
      </c>
      <c r="P12" s="5">
        <v>1</v>
      </c>
      <c r="R12" s="4">
        <f t="shared" si="4"/>
        <v>24</v>
      </c>
      <c r="S12" s="4">
        <f t="shared" si="5"/>
        <v>96</v>
      </c>
      <c r="T12" s="4">
        <f t="shared" si="6"/>
        <v>96</v>
      </c>
      <c r="U12" s="4">
        <f t="shared" si="7"/>
        <v>96</v>
      </c>
      <c r="V12" s="4">
        <f t="shared" si="8"/>
        <v>96</v>
      </c>
    </row>
    <row r="13" spans="1:22" x14ac:dyDescent="0.25">
      <c r="A13" s="4">
        <v>8</v>
      </c>
      <c r="B13" s="118"/>
      <c r="C13" s="80" t="s">
        <v>114</v>
      </c>
      <c r="E13" s="4">
        <v>8</v>
      </c>
      <c r="F13" s="4" t="s">
        <v>27</v>
      </c>
      <c r="G13" s="81">
        <v>0</v>
      </c>
      <c r="H13" s="81">
        <f>E13*12</f>
        <v>96</v>
      </c>
      <c r="I13" s="81">
        <f t="shared" si="1"/>
        <v>96</v>
      </c>
      <c r="J13" s="81">
        <f t="shared" si="3"/>
        <v>96</v>
      </c>
      <c r="L13" s="5">
        <v>0.25</v>
      </c>
      <c r="M13" s="5">
        <v>1</v>
      </c>
      <c r="N13" s="5">
        <v>1</v>
      </c>
      <c r="O13" s="5">
        <v>1</v>
      </c>
      <c r="P13" s="5">
        <v>1</v>
      </c>
      <c r="R13" s="4">
        <f t="shared" si="4"/>
        <v>24</v>
      </c>
      <c r="S13" s="4">
        <f t="shared" si="5"/>
        <v>96</v>
      </c>
      <c r="T13" s="4">
        <f t="shared" si="6"/>
        <v>96</v>
      </c>
      <c r="U13" s="4">
        <f t="shared" si="7"/>
        <v>96</v>
      </c>
      <c r="V13" s="4">
        <f t="shared" si="8"/>
        <v>96</v>
      </c>
    </row>
    <row r="14" spans="1:22" ht="30" x14ac:dyDescent="0.25">
      <c r="A14" s="4">
        <v>9</v>
      </c>
      <c r="B14" s="116" t="s">
        <v>17</v>
      </c>
      <c r="C14" s="37" t="s">
        <v>115</v>
      </c>
      <c r="E14" s="4">
        <v>0.1</v>
      </c>
      <c r="F14" s="4" t="s">
        <v>25</v>
      </c>
      <c r="G14" s="81">
        <v>1000</v>
      </c>
      <c r="H14" s="81">
        <v>12000</v>
      </c>
      <c r="I14" s="81">
        <f>H14-G14</f>
        <v>11000</v>
      </c>
      <c r="J14" s="81">
        <f>I14*E14</f>
        <v>1100</v>
      </c>
      <c r="L14" s="4">
        <v>0</v>
      </c>
      <c r="M14" s="5">
        <v>0.5</v>
      </c>
      <c r="N14" s="5">
        <v>0.75</v>
      </c>
      <c r="O14" s="5">
        <v>1</v>
      </c>
      <c r="P14" s="5">
        <v>1</v>
      </c>
      <c r="R14" s="4">
        <f t="shared" si="4"/>
        <v>0</v>
      </c>
      <c r="S14" s="4">
        <f t="shared" si="5"/>
        <v>550</v>
      </c>
      <c r="T14" s="4">
        <f t="shared" si="6"/>
        <v>825</v>
      </c>
      <c r="U14" s="4">
        <f t="shared" si="7"/>
        <v>1100</v>
      </c>
      <c r="V14" s="4">
        <f t="shared" si="8"/>
        <v>1100</v>
      </c>
    </row>
    <row r="15" spans="1:22" ht="19.5" customHeight="1" x14ac:dyDescent="0.25">
      <c r="A15" s="4">
        <v>10</v>
      </c>
      <c r="B15" s="117"/>
      <c r="C15" s="80" t="s">
        <v>24</v>
      </c>
      <c r="E15" s="4">
        <v>0.1</v>
      </c>
      <c r="F15" s="4" t="s">
        <v>25</v>
      </c>
      <c r="G15" s="81">
        <v>500</v>
      </c>
      <c r="H15" s="81">
        <v>6000</v>
      </c>
      <c r="I15" s="81">
        <f>H15-G15</f>
        <v>5500</v>
      </c>
      <c r="J15" s="81">
        <f>I15*E15</f>
        <v>550</v>
      </c>
      <c r="L15" s="4">
        <v>0</v>
      </c>
      <c r="M15" s="5">
        <v>0.5</v>
      </c>
      <c r="N15" s="5">
        <v>0.75</v>
      </c>
      <c r="O15" s="5">
        <v>1</v>
      </c>
      <c r="P15" s="5">
        <v>1</v>
      </c>
      <c r="R15" s="4">
        <f t="shared" si="4"/>
        <v>0</v>
      </c>
      <c r="S15" s="4">
        <f t="shared" si="5"/>
        <v>275</v>
      </c>
      <c r="T15" s="4">
        <f t="shared" si="6"/>
        <v>412.5</v>
      </c>
      <c r="U15" s="4">
        <f t="shared" si="7"/>
        <v>550</v>
      </c>
      <c r="V15" s="4">
        <f t="shared" si="8"/>
        <v>550</v>
      </c>
    </row>
    <row r="16" spans="1:22" ht="19.5" customHeight="1" x14ac:dyDescent="0.25">
      <c r="A16" s="4">
        <v>11</v>
      </c>
      <c r="B16" s="118"/>
      <c r="C16" s="80" t="s">
        <v>116</v>
      </c>
      <c r="E16" s="4">
        <v>0.2</v>
      </c>
      <c r="F16" s="4" t="s">
        <v>25</v>
      </c>
      <c r="G16" s="81">
        <v>300</v>
      </c>
      <c r="H16" s="81">
        <v>4000</v>
      </c>
      <c r="I16" s="81">
        <f>H16-G16</f>
        <v>3700</v>
      </c>
      <c r="J16" s="81">
        <f>I16*E16</f>
        <v>740</v>
      </c>
      <c r="L16" s="4">
        <v>0</v>
      </c>
      <c r="M16" s="5">
        <v>0.5</v>
      </c>
      <c r="N16" s="5">
        <v>0.75</v>
      </c>
      <c r="O16" s="5">
        <v>1</v>
      </c>
      <c r="P16" s="5">
        <v>1</v>
      </c>
      <c r="R16" s="4">
        <f t="shared" si="4"/>
        <v>0</v>
      </c>
      <c r="S16" s="4">
        <f t="shared" si="5"/>
        <v>370</v>
      </c>
      <c r="T16" s="4">
        <f t="shared" si="6"/>
        <v>555</v>
      </c>
      <c r="U16" s="4">
        <f t="shared" si="7"/>
        <v>740</v>
      </c>
      <c r="V16" s="4">
        <f t="shared" si="8"/>
        <v>740</v>
      </c>
    </row>
    <row r="17" spans="1:22" ht="19.5" customHeight="1" x14ac:dyDescent="0.25">
      <c r="A17" s="4">
        <v>12</v>
      </c>
      <c r="B17" s="4"/>
      <c r="C17" s="4"/>
      <c r="E17" s="4"/>
      <c r="F17" s="4"/>
      <c r="G17" s="4"/>
      <c r="H17" s="4"/>
      <c r="I17" s="4"/>
      <c r="J17" s="4"/>
      <c r="L17" s="4"/>
      <c r="M17" s="4"/>
      <c r="N17" s="4"/>
      <c r="O17" s="4"/>
      <c r="P17" s="4"/>
      <c r="R17" s="4"/>
      <c r="S17" s="4"/>
      <c r="T17" s="4"/>
      <c r="U17" s="4"/>
      <c r="V17" s="4"/>
    </row>
    <row r="18" spans="1:22" ht="19.5" customHeight="1" x14ac:dyDescent="0.25">
      <c r="A18" s="4">
        <v>13</v>
      </c>
      <c r="B18" s="4"/>
      <c r="C18" s="4"/>
      <c r="E18" s="4"/>
      <c r="F18" s="4"/>
      <c r="G18" s="4"/>
      <c r="H18" s="4"/>
      <c r="I18" s="4"/>
      <c r="J18" s="4"/>
      <c r="L18" s="4"/>
      <c r="M18" s="4"/>
      <c r="N18" s="4"/>
      <c r="O18" s="4"/>
      <c r="P18" s="4"/>
      <c r="R18" s="4"/>
      <c r="S18" s="4"/>
      <c r="T18" s="4"/>
      <c r="U18" s="4"/>
      <c r="V18" s="4"/>
    </row>
    <row r="19" spans="1:22" ht="19.5" customHeight="1" x14ac:dyDescent="0.25">
      <c r="A19" s="4">
        <v>14</v>
      </c>
      <c r="B19" s="4"/>
      <c r="C19" s="4"/>
      <c r="E19" s="4"/>
      <c r="F19" s="4"/>
      <c r="G19" s="4"/>
      <c r="H19" s="4"/>
      <c r="I19" s="4"/>
      <c r="J19" s="4"/>
      <c r="L19" s="4"/>
      <c r="M19" s="4"/>
      <c r="N19" s="4"/>
      <c r="O19" s="4"/>
      <c r="P19" s="4"/>
      <c r="R19" s="4"/>
      <c r="S19" s="4"/>
      <c r="T19" s="4"/>
      <c r="U19" s="4"/>
      <c r="V19" s="4"/>
    </row>
    <row r="20" spans="1:22" ht="19.5" customHeight="1" x14ac:dyDescent="0.25">
      <c r="A20" s="82"/>
      <c r="B20" s="82"/>
      <c r="C20" s="82"/>
      <c r="E20" s="82"/>
      <c r="F20" s="82"/>
      <c r="G20" s="82"/>
      <c r="H20" s="82"/>
      <c r="I20" s="82"/>
      <c r="J20" s="82"/>
      <c r="L20" s="82"/>
      <c r="M20" s="82"/>
      <c r="N20" s="82"/>
      <c r="O20" s="82"/>
      <c r="P20" s="82"/>
      <c r="R20" s="82"/>
      <c r="S20" s="82"/>
      <c r="T20" s="82"/>
      <c r="U20" s="82"/>
      <c r="V20" s="82"/>
    </row>
    <row r="21" spans="1:22" ht="19.5" customHeight="1" x14ac:dyDescent="0.25">
      <c r="P21" s="10" t="s">
        <v>100</v>
      </c>
      <c r="R21" s="84">
        <f>SUM(R6:R19)</f>
        <v>423</v>
      </c>
      <c r="S21" s="84">
        <f>SUM(S6:S19)</f>
        <v>2437</v>
      </c>
      <c r="T21" s="84">
        <f>SUM(T6:T19)</f>
        <v>3034.5</v>
      </c>
      <c r="U21" s="84">
        <f>SUM(U6:U19)</f>
        <v>3632</v>
      </c>
      <c r="V21" s="84">
        <f>SUM(V6:V19)</f>
        <v>3632</v>
      </c>
    </row>
    <row r="22" spans="1:22" x14ac:dyDescent="0.25">
      <c r="P22" s="10" t="s">
        <v>101</v>
      </c>
      <c r="R22" s="85">
        <f>R21/$R$24</f>
        <v>0.24521739130434783</v>
      </c>
      <c r="S22" s="85">
        <f>S21/$R$24</f>
        <v>1.4127536231884057</v>
      </c>
      <c r="T22" s="85">
        <f>T21/$R$24</f>
        <v>1.7591304347826087</v>
      </c>
      <c r="U22" s="85">
        <f>U21/$R$24</f>
        <v>2.1055072463768116</v>
      </c>
      <c r="V22" s="85">
        <f>V21/$R$24</f>
        <v>2.1055072463768116</v>
      </c>
    </row>
    <row r="23" spans="1:22" x14ac:dyDescent="0.25">
      <c r="P23" s="10"/>
      <c r="R23" s="83"/>
      <c r="S23" s="83"/>
      <c r="T23" s="83"/>
      <c r="U23" s="83"/>
      <c r="V23" s="83"/>
    </row>
    <row r="24" spans="1:22" x14ac:dyDescent="0.25">
      <c r="O24" s="10" t="s">
        <v>102</v>
      </c>
      <c r="P24" s="10"/>
      <c r="R24">
        <f>46*37.5</f>
        <v>1725</v>
      </c>
    </row>
  </sheetData>
  <mergeCells count="9">
    <mergeCell ref="G4:J4"/>
    <mergeCell ref="L4:P4"/>
    <mergeCell ref="R4:V4"/>
    <mergeCell ref="B6:B9"/>
    <mergeCell ref="B10:B11"/>
    <mergeCell ref="B12:B13"/>
    <mergeCell ref="B14:B16"/>
    <mergeCell ref="A1:B2"/>
    <mergeCell ref="B3:C3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80" zoomScaleNormal="80" workbookViewId="0">
      <selection activeCell="Q4" sqref="Q4:U4"/>
    </sheetView>
  </sheetViews>
  <sheetFormatPr defaultRowHeight="15" x14ac:dyDescent="0.25"/>
  <cols>
    <col min="2" max="2" width="38" customWidth="1"/>
    <col min="3" max="3" width="43.5703125" customWidth="1"/>
    <col min="4" max="4" width="4.85546875" customWidth="1"/>
    <col min="5" max="9" width="15" customWidth="1"/>
    <col min="10" max="10" width="2.42578125" customWidth="1"/>
    <col min="13" max="13" width="11.140625" bestFit="1" customWidth="1"/>
    <col min="15" max="15" width="10.28515625" customWidth="1"/>
    <col min="16" max="16" width="3.7109375" customWidth="1"/>
    <col min="17" max="18" width="9.28515625" bestFit="1" customWidth="1"/>
    <col min="19" max="21" width="9.5703125" bestFit="1" customWidth="1"/>
  </cols>
  <sheetData>
    <row r="1" spans="1:21" x14ac:dyDescent="0.25">
      <c r="A1" s="121" t="s">
        <v>3</v>
      </c>
      <c r="B1" s="122"/>
    </row>
    <row r="2" spans="1:21" x14ac:dyDescent="0.25">
      <c r="A2" s="123"/>
      <c r="B2" s="124"/>
    </row>
    <row r="3" spans="1:21" ht="28.5" x14ac:dyDescent="0.25">
      <c r="A3" s="2"/>
      <c r="B3" s="125" t="s">
        <v>13</v>
      </c>
      <c r="C3" s="126"/>
    </row>
    <row r="4" spans="1:21" s="10" customFormat="1" x14ac:dyDescent="0.25">
      <c r="A4" s="9" t="s">
        <v>11</v>
      </c>
      <c r="B4" s="9"/>
      <c r="C4" s="9"/>
      <c r="E4" s="56" t="s">
        <v>87</v>
      </c>
      <c r="F4" s="114" t="s">
        <v>7</v>
      </c>
      <c r="G4" s="114"/>
      <c r="H4" s="114"/>
      <c r="I4" s="114"/>
      <c r="K4" s="115" t="s">
        <v>10</v>
      </c>
      <c r="L4" s="115"/>
      <c r="M4" s="115"/>
      <c r="N4" s="115"/>
      <c r="O4" s="115"/>
      <c r="Q4" s="115" t="s">
        <v>122</v>
      </c>
      <c r="R4" s="115"/>
      <c r="S4" s="115"/>
      <c r="T4" s="115"/>
      <c r="U4" s="115"/>
    </row>
    <row r="5" spans="1:21" s="8" customFormat="1" ht="64.5" customHeight="1" x14ac:dyDescent="0.25">
      <c r="A5" s="6" t="s">
        <v>9</v>
      </c>
      <c r="B5" s="6" t="s">
        <v>90</v>
      </c>
      <c r="C5" s="6" t="s">
        <v>5</v>
      </c>
      <c r="E5" s="6" t="s">
        <v>89</v>
      </c>
      <c r="F5" s="6" t="s">
        <v>91</v>
      </c>
      <c r="G5" s="6" t="s">
        <v>88</v>
      </c>
      <c r="H5" s="6" t="s">
        <v>94</v>
      </c>
      <c r="I5" s="6" t="s">
        <v>119</v>
      </c>
      <c r="K5" s="7">
        <v>2016</v>
      </c>
      <c r="L5" s="7">
        <v>2017</v>
      </c>
      <c r="M5" s="7">
        <v>2018</v>
      </c>
      <c r="N5" s="7">
        <v>2019</v>
      </c>
      <c r="O5" s="7">
        <v>2020</v>
      </c>
      <c r="Q5" s="7">
        <v>2016</v>
      </c>
      <c r="R5" s="7">
        <v>2017</v>
      </c>
      <c r="S5" s="7">
        <v>2018</v>
      </c>
      <c r="T5" s="7">
        <v>2019</v>
      </c>
      <c r="U5" s="7">
        <v>2020</v>
      </c>
    </row>
    <row r="6" spans="1:21" ht="105" x14ac:dyDescent="0.25">
      <c r="A6" s="4">
        <v>1</v>
      </c>
      <c r="B6" s="11" t="s">
        <v>84</v>
      </c>
      <c r="C6" s="45" t="s">
        <v>95</v>
      </c>
      <c r="E6" s="4">
        <v>0.5</v>
      </c>
      <c r="F6" s="53">
        <v>0</v>
      </c>
      <c r="G6" s="53">
        <v>14000</v>
      </c>
      <c r="H6" s="53">
        <f>G6-F6</f>
        <v>14000</v>
      </c>
      <c r="I6" s="53">
        <f>E6*H6</f>
        <v>7000</v>
      </c>
      <c r="K6" s="5">
        <v>0</v>
      </c>
      <c r="L6" s="5">
        <v>0</v>
      </c>
      <c r="M6" s="5">
        <v>1</v>
      </c>
      <c r="N6" s="5">
        <v>1</v>
      </c>
      <c r="O6" s="5">
        <v>1</v>
      </c>
      <c r="Q6" s="53">
        <f>$I6*K6</f>
        <v>0</v>
      </c>
      <c r="R6" s="53">
        <f t="shared" ref="R6:U6" si="0">$I6*L6</f>
        <v>0</v>
      </c>
      <c r="S6" s="53">
        <f t="shared" si="0"/>
        <v>7000</v>
      </c>
      <c r="T6" s="53">
        <f t="shared" si="0"/>
        <v>7000</v>
      </c>
      <c r="U6" s="53">
        <f t="shared" si="0"/>
        <v>7000</v>
      </c>
    </row>
    <row r="7" spans="1:21" ht="60" x14ac:dyDescent="0.25">
      <c r="A7" s="4">
        <v>2</v>
      </c>
      <c r="B7" s="11" t="s">
        <v>84</v>
      </c>
      <c r="C7" s="45" t="s">
        <v>92</v>
      </c>
      <c r="E7" s="4">
        <v>0.5</v>
      </c>
      <c r="F7" s="53">
        <v>0</v>
      </c>
      <c r="G7" s="53">
        <f>14000*0.1</f>
        <v>1400</v>
      </c>
      <c r="H7" s="53">
        <f t="shared" ref="H7:H12" si="1">G7-F7</f>
        <v>1400</v>
      </c>
      <c r="I7" s="53">
        <f t="shared" ref="I7:I12" si="2">E7*H7</f>
        <v>700</v>
      </c>
      <c r="K7" s="5">
        <v>0</v>
      </c>
      <c r="L7" s="5">
        <v>0</v>
      </c>
      <c r="M7" s="5">
        <v>1</v>
      </c>
      <c r="N7" s="5">
        <v>1</v>
      </c>
      <c r="O7" s="5">
        <v>1</v>
      </c>
      <c r="Q7" s="53">
        <f t="shared" ref="Q7:Q12" si="3">$I7*K7</f>
        <v>0</v>
      </c>
      <c r="R7" s="53">
        <f t="shared" ref="R7:R12" si="4">$I7*L7</f>
        <v>0</v>
      </c>
      <c r="S7" s="53">
        <f t="shared" ref="S7:S12" si="5">$I7*M7</f>
        <v>700</v>
      </c>
      <c r="T7" s="53">
        <f t="shared" ref="T7:T12" si="6">$I7*N7</f>
        <v>700</v>
      </c>
      <c r="U7" s="53">
        <f t="shared" ref="U7:U12" si="7">$I7*O7</f>
        <v>700</v>
      </c>
    </row>
    <row r="8" spans="1:21" ht="45" x14ac:dyDescent="0.25">
      <c r="A8" s="4">
        <v>3</v>
      </c>
      <c r="B8" s="11" t="s">
        <v>84</v>
      </c>
      <c r="C8" s="57" t="s">
        <v>93</v>
      </c>
      <c r="E8" s="4">
        <v>1</v>
      </c>
      <c r="F8" s="53">
        <v>14000</v>
      </c>
      <c r="G8" s="53">
        <f>14000</f>
        <v>14000</v>
      </c>
      <c r="H8" s="53">
        <f t="shared" si="1"/>
        <v>0</v>
      </c>
      <c r="I8" s="53">
        <f t="shared" si="2"/>
        <v>0</v>
      </c>
      <c r="K8" s="5">
        <v>0</v>
      </c>
      <c r="L8" s="5">
        <v>0</v>
      </c>
      <c r="M8" s="5">
        <v>1</v>
      </c>
      <c r="N8" s="5">
        <v>1</v>
      </c>
      <c r="O8" s="5">
        <v>1</v>
      </c>
      <c r="Q8" s="53">
        <f t="shared" si="3"/>
        <v>0</v>
      </c>
      <c r="R8" s="53">
        <f t="shared" si="4"/>
        <v>0</v>
      </c>
      <c r="S8" s="53">
        <f t="shared" si="5"/>
        <v>0</v>
      </c>
      <c r="T8" s="53">
        <f t="shared" si="6"/>
        <v>0</v>
      </c>
      <c r="U8" s="53">
        <f t="shared" si="7"/>
        <v>0</v>
      </c>
    </row>
    <row r="9" spans="1:21" ht="120" x14ac:dyDescent="0.25">
      <c r="A9" s="4">
        <v>4</v>
      </c>
      <c r="B9" s="11" t="s">
        <v>85</v>
      </c>
      <c r="C9" s="57" t="s">
        <v>96</v>
      </c>
      <c r="E9" s="4">
        <v>1</v>
      </c>
      <c r="F9" s="53">
        <f>30*12</f>
        <v>360</v>
      </c>
      <c r="G9" s="53">
        <f>100*12</f>
        <v>1200</v>
      </c>
      <c r="H9" s="53">
        <f t="shared" si="1"/>
        <v>840</v>
      </c>
      <c r="I9" s="53">
        <f t="shared" si="2"/>
        <v>840</v>
      </c>
      <c r="K9" s="5">
        <v>0</v>
      </c>
      <c r="L9" s="5">
        <v>0</v>
      </c>
      <c r="M9" s="5">
        <v>0.05</v>
      </c>
      <c r="N9" s="5">
        <v>0.15</v>
      </c>
      <c r="O9" s="5">
        <v>0.3</v>
      </c>
      <c r="Q9" s="53">
        <f t="shared" si="3"/>
        <v>0</v>
      </c>
      <c r="R9" s="53">
        <f t="shared" si="4"/>
        <v>0</v>
      </c>
      <c r="S9" s="53">
        <f t="shared" si="5"/>
        <v>42</v>
      </c>
      <c r="T9" s="53">
        <f t="shared" si="6"/>
        <v>126</v>
      </c>
      <c r="U9" s="53">
        <f t="shared" si="7"/>
        <v>252</v>
      </c>
    </row>
    <row r="10" spans="1:21" ht="60" x14ac:dyDescent="0.25">
      <c r="A10" s="4">
        <v>5</v>
      </c>
      <c r="B10" s="11" t="s">
        <v>86</v>
      </c>
      <c r="C10" s="57" t="s">
        <v>97</v>
      </c>
      <c r="E10" s="4">
        <v>0.25</v>
      </c>
      <c r="F10" s="53">
        <v>12000</v>
      </c>
      <c r="G10" s="53">
        <f>F10*(1+10%)</f>
        <v>13200.000000000002</v>
      </c>
      <c r="H10" s="53">
        <f t="shared" si="1"/>
        <v>1200.0000000000018</v>
      </c>
      <c r="I10" s="53">
        <f t="shared" si="2"/>
        <v>300.00000000000045</v>
      </c>
      <c r="K10" s="5">
        <v>0</v>
      </c>
      <c r="L10" s="5">
        <v>0</v>
      </c>
      <c r="M10" s="5">
        <v>1</v>
      </c>
      <c r="N10" s="5">
        <v>0.8</v>
      </c>
      <c r="O10" s="5">
        <v>0.6</v>
      </c>
      <c r="Q10" s="53">
        <f t="shared" si="3"/>
        <v>0</v>
      </c>
      <c r="R10" s="53">
        <f t="shared" si="4"/>
        <v>0</v>
      </c>
      <c r="S10" s="53">
        <f t="shared" si="5"/>
        <v>300.00000000000045</v>
      </c>
      <c r="T10" s="53">
        <f t="shared" si="6"/>
        <v>240.00000000000037</v>
      </c>
      <c r="U10" s="53">
        <f t="shared" si="7"/>
        <v>180.00000000000026</v>
      </c>
    </row>
    <row r="11" spans="1:21" ht="75" x14ac:dyDescent="0.25">
      <c r="A11" s="4">
        <v>6</v>
      </c>
      <c r="B11" s="11" t="s">
        <v>48</v>
      </c>
      <c r="C11" s="58" t="s">
        <v>98</v>
      </c>
      <c r="E11" s="4">
        <v>0.25</v>
      </c>
      <c r="F11" s="53">
        <v>0</v>
      </c>
      <c r="G11" s="53">
        <f>700000*0.05</f>
        <v>35000</v>
      </c>
      <c r="H11" s="53">
        <f t="shared" si="1"/>
        <v>35000</v>
      </c>
      <c r="I11" s="53">
        <f t="shared" si="2"/>
        <v>8750</v>
      </c>
      <c r="K11" s="5">
        <v>0</v>
      </c>
      <c r="L11" s="5">
        <v>0</v>
      </c>
      <c r="M11" s="5">
        <v>0.25</v>
      </c>
      <c r="N11" s="5">
        <v>0.5</v>
      </c>
      <c r="O11" s="5">
        <v>1</v>
      </c>
      <c r="Q11" s="53">
        <f t="shared" si="3"/>
        <v>0</v>
      </c>
      <c r="R11" s="53">
        <f t="shared" si="4"/>
        <v>0</v>
      </c>
      <c r="S11" s="53">
        <f t="shared" si="5"/>
        <v>2187.5</v>
      </c>
      <c r="T11" s="53">
        <f t="shared" si="6"/>
        <v>4375</v>
      </c>
      <c r="U11" s="53">
        <f t="shared" si="7"/>
        <v>8750</v>
      </c>
    </row>
    <row r="12" spans="1:21" ht="120" x14ac:dyDescent="0.25">
      <c r="A12" s="4">
        <v>7</v>
      </c>
      <c r="B12" s="11" t="s">
        <v>48</v>
      </c>
      <c r="C12" s="57" t="s">
        <v>99</v>
      </c>
      <c r="E12" s="4">
        <v>0.25</v>
      </c>
      <c r="F12" s="53">
        <v>0</v>
      </c>
      <c r="G12" s="53">
        <f>14000*0.1</f>
        <v>1400</v>
      </c>
      <c r="H12" s="53">
        <f t="shared" si="1"/>
        <v>1400</v>
      </c>
      <c r="I12" s="53">
        <f t="shared" si="2"/>
        <v>350</v>
      </c>
      <c r="K12" s="5">
        <v>0</v>
      </c>
      <c r="L12" s="5">
        <v>0</v>
      </c>
      <c r="M12" s="5">
        <v>1</v>
      </c>
      <c r="N12" s="5">
        <v>1</v>
      </c>
      <c r="O12" s="5">
        <v>1</v>
      </c>
      <c r="Q12" s="53">
        <f t="shared" si="3"/>
        <v>0</v>
      </c>
      <c r="R12" s="53">
        <f t="shared" si="4"/>
        <v>0</v>
      </c>
      <c r="S12" s="53">
        <f t="shared" si="5"/>
        <v>350</v>
      </c>
      <c r="T12" s="53">
        <f t="shared" si="6"/>
        <v>350</v>
      </c>
      <c r="U12" s="53">
        <f t="shared" si="7"/>
        <v>350</v>
      </c>
    </row>
    <row r="13" spans="1:21" ht="19.5" customHeight="1" x14ac:dyDescent="0.25">
      <c r="A13" s="4">
        <v>8</v>
      </c>
      <c r="B13" s="4"/>
      <c r="C13" s="25"/>
      <c r="E13" s="4"/>
      <c r="F13" s="4"/>
      <c r="G13" s="4"/>
      <c r="H13" s="4"/>
      <c r="I13" s="4"/>
      <c r="K13" s="4"/>
      <c r="L13" s="4"/>
      <c r="M13" s="4"/>
      <c r="N13" s="4"/>
      <c r="O13" s="4"/>
      <c r="Q13" s="53"/>
      <c r="R13" s="53"/>
      <c r="S13" s="53"/>
      <c r="T13" s="53"/>
      <c r="U13" s="53"/>
    </row>
    <row r="14" spans="1:21" ht="19.5" customHeight="1" x14ac:dyDescent="0.25">
      <c r="A14" s="4">
        <v>9</v>
      </c>
      <c r="B14" s="4"/>
      <c r="C14" s="4"/>
      <c r="E14" s="4"/>
      <c r="F14" s="4"/>
      <c r="G14" s="4"/>
      <c r="H14" s="4"/>
      <c r="I14" s="4"/>
      <c r="K14" s="4"/>
      <c r="L14" s="4"/>
      <c r="M14" s="4"/>
      <c r="N14" s="4"/>
      <c r="O14" s="4"/>
      <c r="Q14" s="53"/>
      <c r="R14" s="53"/>
      <c r="S14" s="53"/>
      <c r="T14" s="53"/>
      <c r="U14" s="53"/>
    </row>
    <row r="15" spans="1:21" ht="19.5" customHeight="1" x14ac:dyDescent="0.25">
      <c r="A15" s="4">
        <v>10</v>
      </c>
      <c r="B15" s="4"/>
      <c r="C15" s="4"/>
      <c r="E15" s="4"/>
      <c r="F15" s="4"/>
      <c r="G15" s="4"/>
      <c r="H15" s="4"/>
      <c r="I15" s="4"/>
      <c r="K15" s="4"/>
      <c r="L15" s="4"/>
      <c r="M15" s="4"/>
      <c r="N15" s="4"/>
      <c r="O15" s="4"/>
      <c r="Q15" s="53"/>
      <c r="R15" s="53"/>
      <c r="S15" s="53"/>
      <c r="T15" s="53"/>
      <c r="U15" s="53"/>
    </row>
    <row r="16" spans="1:21" ht="19.5" customHeight="1" x14ac:dyDescent="0.25"/>
    <row r="17" spans="14:21" x14ac:dyDescent="0.25">
      <c r="O17" s="10" t="s">
        <v>100</v>
      </c>
      <c r="Q17" s="53">
        <f>SUM(Q6:Q15)</f>
        <v>0</v>
      </c>
      <c r="R17" s="53">
        <f>SUM(R6:R15)</f>
        <v>0</v>
      </c>
      <c r="S17" s="53">
        <f>SUM(S6:S15)</f>
        <v>10579.5</v>
      </c>
      <c r="T17" s="53">
        <f>SUM(T6:T15)</f>
        <v>12791</v>
      </c>
      <c r="U17" s="53">
        <f>SUM(U6:U15)</f>
        <v>17232</v>
      </c>
    </row>
    <row r="18" spans="14:21" x14ac:dyDescent="0.25">
      <c r="O18" s="10" t="s">
        <v>101</v>
      </c>
      <c r="Q18" s="54">
        <f>Q17/$Q$20</f>
        <v>0</v>
      </c>
      <c r="R18" s="54">
        <f>R17/$Q$20</f>
        <v>0</v>
      </c>
      <c r="S18" s="54">
        <f>S17/$Q$20</f>
        <v>6.1330434782608698</v>
      </c>
      <c r="T18" s="54">
        <f>T17/$Q$20</f>
        <v>7.4150724637681158</v>
      </c>
      <c r="U18" s="54">
        <f>U17/$Q$20</f>
        <v>9.9895652173913039</v>
      </c>
    </row>
    <row r="20" spans="14:21" x14ac:dyDescent="0.25">
      <c r="N20" s="10" t="s">
        <v>102</v>
      </c>
      <c r="Q20" s="66">
        <f>46*37.5</f>
        <v>1725</v>
      </c>
    </row>
  </sheetData>
  <mergeCells count="5">
    <mergeCell ref="A1:B2"/>
    <mergeCell ref="B3:C3"/>
    <mergeCell ref="F4:I4"/>
    <mergeCell ref="K4:O4"/>
    <mergeCell ref="Q4:U4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="80" zoomScaleNormal="80" workbookViewId="0">
      <pane ySplit="5" topLeftCell="A6" activePane="bottomLeft" state="frozen"/>
      <selection pane="bottomLeft" activeCell="S17" sqref="S17"/>
    </sheetView>
  </sheetViews>
  <sheetFormatPr defaultRowHeight="15" x14ac:dyDescent="0.25"/>
  <cols>
    <col min="2" max="2" width="40.85546875" customWidth="1"/>
    <col min="3" max="3" width="36.5703125" bestFit="1" customWidth="1"/>
    <col min="4" max="4" width="4.85546875" customWidth="1"/>
    <col min="5" max="9" width="13.5703125" customWidth="1"/>
    <col min="10" max="10" width="2.42578125" customWidth="1"/>
    <col min="16" max="16" width="3.7109375" customWidth="1"/>
  </cols>
  <sheetData>
    <row r="1" spans="1:21" x14ac:dyDescent="0.25">
      <c r="A1" s="111" t="s">
        <v>3</v>
      </c>
      <c r="B1" s="111"/>
    </row>
    <row r="2" spans="1:21" x14ac:dyDescent="0.25">
      <c r="A2" s="111"/>
      <c r="B2" s="111"/>
    </row>
    <row r="3" spans="1:21" ht="28.5" x14ac:dyDescent="0.25">
      <c r="A3" s="2"/>
      <c r="B3" s="42" t="s">
        <v>65</v>
      </c>
      <c r="C3" s="43"/>
      <c r="D3" s="44"/>
      <c r="E3" s="44"/>
      <c r="F3" s="44"/>
      <c r="G3" s="44"/>
      <c r="H3" s="44"/>
      <c r="I3" s="44"/>
    </row>
    <row r="4" spans="1:21" s="10" customFormat="1" x14ac:dyDescent="0.25">
      <c r="A4" s="9" t="s">
        <v>11</v>
      </c>
      <c r="B4" s="9"/>
      <c r="C4" s="9"/>
      <c r="E4" s="9" t="s">
        <v>87</v>
      </c>
      <c r="F4" s="114" t="s">
        <v>7</v>
      </c>
      <c r="G4" s="114"/>
      <c r="H4" s="114"/>
      <c r="I4" s="114"/>
      <c r="K4" s="115" t="s">
        <v>10</v>
      </c>
      <c r="L4" s="115"/>
      <c r="M4" s="115"/>
      <c r="N4" s="115"/>
      <c r="O4" s="115"/>
      <c r="Q4" s="115" t="s">
        <v>122</v>
      </c>
      <c r="R4" s="115"/>
      <c r="S4" s="115"/>
      <c r="T4" s="115"/>
      <c r="U4" s="115"/>
    </row>
    <row r="5" spans="1:21" s="8" customFormat="1" ht="43.5" customHeight="1" x14ac:dyDescent="0.25">
      <c r="A5" s="6" t="s">
        <v>9</v>
      </c>
      <c r="B5" s="6" t="s">
        <v>90</v>
      </c>
      <c r="C5" s="6" t="s">
        <v>5</v>
      </c>
      <c r="E5" s="6" t="s">
        <v>89</v>
      </c>
      <c r="F5" s="6" t="s">
        <v>8</v>
      </c>
      <c r="G5" s="6" t="s">
        <v>118</v>
      </c>
      <c r="H5" s="6" t="s">
        <v>94</v>
      </c>
      <c r="I5" s="6" t="s">
        <v>119</v>
      </c>
      <c r="K5" s="7">
        <v>2016</v>
      </c>
      <c r="L5" s="7">
        <v>2017</v>
      </c>
      <c r="M5" s="7">
        <v>2018</v>
      </c>
      <c r="N5" s="7">
        <v>2019</v>
      </c>
      <c r="O5" s="7">
        <v>2020</v>
      </c>
      <c r="Q5" s="7">
        <v>2016</v>
      </c>
      <c r="R5" s="7">
        <v>2017</v>
      </c>
      <c r="S5" s="7">
        <v>2018</v>
      </c>
      <c r="T5" s="7">
        <v>2019</v>
      </c>
      <c r="U5" s="7">
        <v>2020</v>
      </c>
    </row>
    <row r="6" spans="1:21" ht="60" x14ac:dyDescent="0.25">
      <c r="A6" s="4">
        <v>1</v>
      </c>
      <c r="B6" s="45" t="s">
        <v>66</v>
      </c>
      <c r="C6" s="37" t="s">
        <v>67</v>
      </c>
      <c r="E6" s="46">
        <f t="shared" ref="E6:E14" si="0">5/60</f>
        <v>8.3333333333333329E-2</v>
      </c>
      <c r="F6" s="47">
        <f>0.1*59498</f>
        <v>5949.8</v>
      </c>
      <c r="G6" s="47">
        <f>0.25*59498</f>
        <v>14874.5</v>
      </c>
      <c r="H6" s="47">
        <f>G6-F6</f>
        <v>8924.7000000000007</v>
      </c>
      <c r="I6" s="48">
        <f>H6*E6</f>
        <v>743.72500000000002</v>
      </c>
      <c r="K6" s="5">
        <v>0</v>
      </c>
      <c r="L6" s="5">
        <v>0</v>
      </c>
      <c r="M6" s="5">
        <v>1</v>
      </c>
      <c r="N6" s="5">
        <v>0.8</v>
      </c>
      <c r="O6" s="5">
        <v>0.6</v>
      </c>
      <c r="Q6" s="48">
        <f>$I6*K6</f>
        <v>0</v>
      </c>
      <c r="R6" s="48">
        <f>$I6*L6</f>
        <v>0</v>
      </c>
      <c r="S6" s="48">
        <f>$I6*M6</f>
        <v>743.72500000000002</v>
      </c>
      <c r="T6" s="48">
        <f>$I6*N6</f>
        <v>594.98</v>
      </c>
      <c r="U6" s="48">
        <f>$I6*O6</f>
        <v>446.23500000000001</v>
      </c>
    </row>
    <row r="7" spans="1:21" ht="60" x14ac:dyDescent="0.25">
      <c r="A7" s="4">
        <v>2</v>
      </c>
      <c r="B7" s="45" t="s">
        <v>66</v>
      </c>
      <c r="C7" s="37" t="s">
        <v>68</v>
      </c>
      <c r="E7" s="46">
        <f t="shared" si="0"/>
        <v>8.3333333333333329E-2</v>
      </c>
      <c r="F7" s="47">
        <f>0.05*59498</f>
        <v>2974.9</v>
      </c>
      <c r="G7" s="47">
        <f>0.1*59498</f>
        <v>5949.8</v>
      </c>
      <c r="H7" s="47">
        <f>G7-F7</f>
        <v>2974.9</v>
      </c>
      <c r="I7" s="48">
        <f>H7*E7</f>
        <v>247.90833333333333</v>
      </c>
      <c r="K7" s="5">
        <v>0</v>
      </c>
      <c r="L7" s="5">
        <v>0</v>
      </c>
      <c r="M7" s="5">
        <v>1</v>
      </c>
      <c r="N7" s="5">
        <v>0.8</v>
      </c>
      <c r="O7" s="5">
        <v>0.6</v>
      </c>
      <c r="Q7" s="48">
        <f t="shared" ref="Q7:U14" si="1">$I7*K7</f>
        <v>0</v>
      </c>
      <c r="R7" s="48">
        <f t="shared" si="1"/>
        <v>0</v>
      </c>
      <c r="S7" s="48">
        <f t="shared" si="1"/>
        <v>247.90833333333333</v>
      </c>
      <c r="T7" s="48">
        <f t="shared" si="1"/>
        <v>198.32666666666668</v>
      </c>
      <c r="U7" s="48">
        <f t="shared" si="1"/>
        <v>148.745</v>
      </c>
    </row>
    <row r="8" spans="1:21" ht="60" x14ac:dyDescent="0.25">
      <c r="A8" s="4">
        <v>3</v>
      </c>
      <c r="B8" s="45" t="s">
        <v>69</v>
      </c>
      <c r="C8" s="37" t="s">
        <v>67</v>
      </c>
      <c r="E8" s="46">
        <f t="shared" si="0"/>
        <v>8.3333333333333329E-2</v>
      </c>
      <c r="F8" s="47">
        <f>0.1*34757</f>
        <v>3475.7000000000003</v>
      </c>
      <c r="G8" s="47">
        <f>0.25*34757</f>
        <v>8689.25</v>
      </c>
      <c r="H8" s="47">
        <f t="shared" ref="H8:H14" si="2">G8-F8</f>
        <v>5213.5499999999993</v>
      </c>
      <c r="I8" s="48">
        <f t="shared" ref="I8:I14" si="3">H8*E8</f>
        <v>434.46249999999992</v>
      </c>
      <c r="K8" s="5">
        <v>0</v>
      </c>
      <c r="L8" s="5">
        <v>0</v>
      </c>
      <c r="M8" s="5">
        <v>1</v>
      </c>
      <c r="N8" s="5">
        <v>0.8</v>
      </c>
      <c r="O8" s="5">
        <v>0.6</v>
      </c>
      <c r="Q8" s="48">
        <f t="shared" si="1"/>
        <v>0</v>
      </c>
      <c r="R8" s="48">
        <f t="shared" si="1"/>
        <v>0</v>
      </c>
      <c r="S8" s="48">
        <f t="shared" si="1"/>
        <v>434.46249999999992</v>
      </c>
      <c r="T8" s="48">
        <f t="shared" si="1"/>
        <v>347.56999999999994</v>
      </c>
      <c r="U8" s="48">
        <f t="shared" si="1"/>
        <v>260.67749999999995</v>
      </c>
    </row>
    <row r="9" spans="1:21" ht="60" x14ac:dyDescent="0.25">
      <c r="A9" s="4">
        <v>4</v>
      </c>
      <c r="B9" s="45" t="s">
        <v>70</v>
      </c>
      <c r="C9" s="37" t="s">
        <v>68</v>
      </c>
      <c r="E9" s="46">
        <f t="shared" si="0"/>
        <v>8.3333333333333329E-2</v>
      </c>
      <c r="F9" s="47">
        <f>0.05*34757</f>
        <v>1737.8500000000001</v>
      </c>
      <c r="G9" s="47">
        <f>0.1*34757</f>
        <v>3475.7000000000003</v>
      </c>
      <c r="H9" s="47">
        <f t="shared" si="2"/>
        <v>1737.8500000000001</v>
      </c>
      <c r="I9" s="48">
        <f t="shared" si="3"/>
        <v>144.82083333333333</v>
      </c>
      <c r="K9" s="5">
        <v>0</v>
      </c>
      <c r="L9" s="5">
        <v>0</v>
      </c>
      <c r="M9" s="5">
        <v>1</v>
      </c>
      <c r="N9" s="5">
        <v>0.8</v>
      </c>
      <c r="O9" s="5">
        <v>0.6</v>
      </c>
      <c r="Q9" s="48">
        <f t="shared" si="1"/>
        <v>0</v>
      </c>
      <c r="R9" s="48">
        <f t="shared" si="1"/>
        <v>0</v>
      </c>
      <c r="S9" s="48">
        <f t="shared" si="1"/>
        <v>144.82083333333333</v>
      </c>
      <c r="T9" s="48">
        <f t="shared" si="1"/>
        <v>115.85666666666667</v>
      </c>
      <c r="U9" s="48">
        <f t="shared" si="1"/>
        <v>86.892499999999998</v>
      </c>
    </row>
    <row r="10" spans="1:21" ht="60" x14ac:dyDescent="0.25">
      <c r="A10" s="4">
        <v>5</v>
      </c>
      <c r="B10" s="45" t="s">
        <v>71</v>
      </c>
      <c r="C10" s="37" t="s">
        <v>72</v>
      </c>
      <c r="E10" s="46">
        <f t="shared" si="0"/>
        <v>8.3333333333333329E-2</v>
      </c>
      <c r="F10" s="47">
        <f>0.04*17571</f>
        <v>702.84</v>
      </c>
      <c r="G10" s="47">
        <f>0.1*17571</f>
        <v>1757.1000000000001</v>
      </c>
      <c r="H10" s="47">
        <f t="shared" si="2"/>
        <v>1054.2600000000002</v>
      </c>
      <c r="I10" s="48">
        <f t="shared" si="3"/>
        <v>87.855000000000018</v>
      </c>
      <c r="K10" s="5">
        <v>0</v>
      </c>
      <c r="L10" s="5">
        <v>0</v>
      </c>
      <c r="M10" s="5">
        <v>1</v>
      </c>
      <c r="N10" s="5">
        <v>0.8</v>
      </c>
      <c r="O10" s="5">
        <v>0.6</v>
      </c>
      <c r="Q10" s="48">
        <f t="shared" si="1"/>
        <v>0</v>
      </c>
      <c r="R10" s="48">
        <f t="shared" si="1"/>
        <v>0</v>
      </c>
      <c r="S10" s="48">
        <f t="shared" si="1"/>
        <v>87.855000000000018</v>
      </c>
      <c r="T10" s="48">
        <f t="shared" si="1"/>
        <v>70.28400000000002</v>
      </c>
      <c r="U10" s="48">
        <f t="shared" si="1"/>
        <v>52.713000000000008</v>
      </c>
    </row>
    <row r="11" spans="1:21" ht="60" x14ac:dyDescent="0.25">
      <c r="A11" s="4">
        <v>6</v>
      </c>
      <c r="B11" s="45" t="s">
        <v>71</v>
      </c>
      <c r="C11" s="37" t="s">
        <v>68</v>
      </c>
      <c r="E11" s="46">
        <f t="shared" si="0"/>
        <v>8.3333333333333329E-2</v>
      </c>
      <c r="F11" s="47">
        <f>0.05*17571</f>
        <v>878.55000000000007</v>
      </c>
      <c r="G11" s="47">
        <f>0.1*17571</f>
        <v>1757.1000000000001</v>
      </c>
      <c r="H11" s="47">
        <f t="shared" si="2"/>
        <v>878.55000000000007</v>
      </c>
      <c r="I11" s="48">
        <f t="shared" si="3"/>
        <v>73.212500000000006</v>
      </c>
      <c r="K11" s="5">
        <v>0</v>
      </c>
      <c r="L11" s="5">
        <v>0</v>
      </c>
      <c r="M11" s="5">
        <v>1</v>
      </c>
      <c r="N11" s="5">
        <v>0.8</v>
      </c>
      <c r="O11" s="5">
        <v>0.6</v>
      </c>
      <c r="Q11" s="48">
        <f t="shared" si="1"/>
        <v>0</v>
      </c>
      <c r="R11" s="48">
        <f t="shared" si="1"/>
        <v>0</v>
      </c>
      <c r="S11" s="48">
        <f t="shared" si="1"/>
        <v>73.212500000000006</v>
      </c>
      <c r="T11" s="48">
        <f t="shared" si="1"/>
        <v>58.570000000000007</v>
      </c>
      <c r="U11" s="48">
        <f t="shared" si="1"/>
        <v>43.927500000000002</v>
      </c>
    </row>
    <row r="12" spans="1:21" ht="75" x14ac:dyDescent="0.25">
      <c r="A12" s="4">
        <v>7</v>
      </c>
      <c r="B12" s="45" t="s">
        <v>73</v>
      </c>
      <c r="C12" s="37" t="s">
        <v>83</v>
      </c>
      <c r="E12" s="46">
        <f t="shared" si="0"/>
        <v>8.3333333333333329E-2</v>
      </c>
      <c r="F12" s="47">
        <f>0.1*6305</f>
        <v>630.5</v>
      </c>
      <c r="G12" s="47">
        <f>0.3*6305</f>
        <v>1891.5</v>
      </c>
      <c r="H12" s="47">
        <f t="shared" si="2"/>
        <v>1261</v>
      </c>
      <c r="I12" s="48">
        <f t="shared" si="3"/>
        <v>105.08333333333333</v>
      </c>
      <c r="K12" s="5">
        <v>0</v>
      </c>
      <c r="L12" s="5">
        <v>0</v>
      </c>
      <c r="M12" s="5">
        <v>1</v>
      </c>
      <c r="N12" s="5">
        <v>0.8</v>
      </c>
      <c r="O12" s="5">
        <v>0.6</v>
      </c>
      <c r="Q12" s="48">
        <f t="shared" si="1"/>
        <v>0</v>
      </c>
      <c r="R12" s="48">
        <f t="shared" si="1"/>
        <v>0</v>
      </c>
      <c r="S12" s="48">
        <f t="shared" si="1"/>
        <v>105.08333333333333</v>
      </c>
      <c r="T12" s="48">
        <f t="shared" si="1"/>
        <v>84.066666666666663</v>
      </c>
      <c r="U12" s="48">
        <f t="shared" si="1"/>
        <v>63.05</v>
      </c>
    </row>
    <row r="13" spans="1:21" ht="90" x14ac:dyDescent="0.25">
      <c r="A13" s="4">
        <v>8</v>
      </c>
      <c r="B13" s="45" t="s">
        <v>74</v>
      </c>
      <c r="C13" s="37" t="s">
        <v>120</v>
      </c>
      <c r="E13" s="46">
        <f t="shared" si="0"/>
        <v>8.3333333333333329E-2</v>
      </c>
      <c r="F13" s="47">
        <f>0*0.5*14000</f>
        <v>0</v>
      </c>
      <c r="G13" s="47">
        <f>0.25*0.5*14000</f>
        <v>1750</v>
      </c>
      <c r="H13" s="47">
        <f t="shared" si="2"/>
        <v>1750</v>
      </c>
      <c r="I13" s="48">
        <f t="shared" si="3"/>
        <v>145.83333333333331</v>
      </c>
      <c r="K13" s="5">
        <v>0</v>
      </c>
      <c r="L13" s="5">
        <v>0</v>
      </c>
      <c r="M13" s="5">
        <v>1</v>
      </c>
      <c r="N13" s="5">
        <v>0.8</v>
      </c>
      <c r="O13" s="5">
        <v>0.6</v>
      </c>
      <c r="Q13" s="48">
        <f t="shared" si="1"/>
        <v>0</v>
      </c>
      <c r="R13" s="48">
        <f t="shared" si="1"/>
        <v>0</v>
      </c>
      <c r="S13" s="48">
        <f t="shared" si="1"/>
        <v>145.83333333333331</v>
      </c>
      <c r="T13" s="48">
        <f t="shared" si="1"/>
        <v>116.66666666666666</v>
      </c>
      <c r="U13" s="48">
        <f t="shared" si="1"/>
        <v>87.499999999999986</v>
      </c>
    </row>
    <row r="14" spans="1:21" ht="90" x14ac:dyDescent="0.25">
      <c r="A14" s="4">
        <v>9</v>
      </c>
      <c r="B14" s="45" t="s">
        <v>74</v>
      </c>
      <c r="C14" s="37" t="s">
        <v>121</v>
      </c>
      <c r="E14" s="46">
        <f t="shared" si="0"/>
        <v>8.3333333333333329E-2</v>
      </c>
      <c r="F14" s="47">
        <f>0*0.5*14000</f>
        <v>0</v>
      </c>
      <c r="G14" s="47">
        <f>0.1*0.5*14000</f>
        <v>700</v>
      </c>
      <c r="H14" s="47">
        <f t="shared" si="2"/>
        <v>700</v>
      </c>
      <c r="I14" s="48">
        <f t="shared" si="3"/>
        <v>58.333333333333329</v>
      </c>
      <c r="K14" s="5">
        <v>0</v>
      </c>
      <c r="L14" s="5">
        <v>0</v>
      </c>
      <c r="M14" s="5">
        <v>1</v>
      </c>
      <c r="N14" s="5">
        <v>0.8</v>
      </c>
      <c r="O14" s="5">
        <v>0.6</v>
      </c>
      <c r="Q14" s="48">
        <f t="shared" si="1"/>
        <v>0</v>
      </c>
      <c r="R14" s="48">
        <f t="shared" si="1"/>
        <v>0</v>
      </c>
      <c r="S14" s="48">
        <f t="shared" si="1"/>
        <v>58.333333333333329</v>
      </c>
      <c r="T14" s="48">
        <f t="shared" si="1"/>
        <v>46.666666666666664</v>
      </c>
      <c r="U14" s="48">
        <f t="shared" si="1"/>
        <v>34.999999999999993</v>
      </c>
    </row>
    <row r="15" spans="1:21" ht="19.5" customHeight="1" x14ac:dyDescent="0.25"/>
    <row r="16" spans="1:21" x14ac:dyDescent="0.25">
      <c r="O16" s="49" t="s">
        <v>100</v>
      </c>
      <c r="Q16" s="87">
        <f>SUM(Q6:Q14)</f>
        <v>0</v>
      </c>
      <c r="R16" s="87">
        <f>SUM(R6:R14)</f>
        <v>0</v>
      </c>
      <c r="S16" s="87">
        <f>SUM(S6:S14)</f>
        <v>2041.2341666666664</v>
      </c>
      <c r="T16" s="87">
        <f>SUM(T6:T14)</f>
        <v>1632.9873333333333</v>
      </c>
      <c r="U16" s="87">
        <f>SUM(U6:U14)</f>
        <v>1224.7404999999999</v>
      </c>
    </row>
    <row r="17" spans="14:21" x14ac:dyDescent="0.25">
      <c r="O17" s="49" t="s">
        <v>101</v>
      </c>
      <c r="Q17" s="88">
        <f>Q16/$Q$19</f>
        <v>0</v>
      </c>
      <c r="R17" s="88">
        <f t="shared" ref="R17:U17" si="4">R16/$Q$19</f>
        <v>0</v>
      </c>
      <c r="S17" s="88">
        <f t="shared" si="4"/>
        <v>1.1833241545893718</v>
      </c>
      <c r="T17" s="88">
        <f t="shared" si="4"/>
        <v>0.94665932367149752</v>
      </c>
      <c r="U17" s="88">
        <f t="shared" si="4"/>
        <v>0.70999449275362314</v>
      </c>
    </row>
    <row r="19" spans="14:21" x14ac:dyDescent="0.25">
      <c r="N19" s="10" t="s">
        <v>102</v>
      </c>
      <c r="Q19">
        <f>46*37.5</f>
        <v>1725</v>
      </c>
    </row>
  </sheetData>
  <mergeCells count="4">
    <mergeCell ref="A1:B2"/>
    <mergeCell ref="F4:I4"/>
    <mergeCell ref="K4:O4"/>
    <mergeCell ref="Q4:U4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zoomScale="80" zoomScaleNormal="80" workbookViewId="0">
      <selection activeCell="Q20" sqref="Q20"/>
    </sheetView>
  </sheetViews>
  <sheetFormatPr defaultRowHeight="15" x14ac:dyDescent="0.25"/>
  <cols>
    <col min="2" max="2" width="38" customWidth="1"/>
    <col min="3" max="3" width="28.140625" customWidth="1"/>
    <col min="4" max="4" width="4.85546875" customWidth="1"/>
    <col min="7" max="7" width="12.42578125" customWidth="1"/>
    <col min="8" max="8" width="14.42578125" customWidth="1"/>
    <col min="9" max="9" width="12.42578125" customWidth="1"/>
    <col min="10" max="10" width="2.42578125" customWidth="1"/>
    <col min="16" max="16" width="3.7109375" customWidth="1"/>
  </cols>
  <sheetData>
    <row r="1" spans="1:21" x14ac:dyDescent="0.25">
      <c r="A1" s="111" t="s">
        <v>3</v>
      </c>
      <c r="B1" s="111"/>
    </row>
    <row r="2" spans="1:21" x14ac:dyDescent="0.25">
      <c r="A2" s="111"/>
      <c r="B2" s="111"/>
    </row>
    <row r="3" spans="1:21" ht="28.5" x14ac:dyDescent="0.25">
      <c r="A3" s="2"/>
      <c r="B3" s="125" t="s">
        <v>2</v>
      </c>
      <c r="C3" s="126"/>
    </row>
    <row r="4" spans="1:21" s="10" customFormat="1" x14ac:dyDescent="0.25">
      <c r="A4" s="9" t="s">
        <v>11</v>
      </c>
      <c r="B4" s="9"/>
      <c r="C4" s="9"/>
      <c r="E4" s="9" t="s">
        <v>6</v>
      </c>
      <c r="F4" s="114" t="s">
        <v>7</v>
      </c>
      <c r="G4" s="114"/>
      <c r="H4" s="114"/>
      <c r="I4" s="114"/>
      <c r="K4" s="115" t="s">
        <v>10</v>
      </c>
      <c r="L4" s="115"/>
      <c r="M4" s="115"/>
      <c r="N4" s="115"/>
      <c r="O4" s="115"/>
      <c r="Q4" s="115" t="s">
        <v>122</v>
      </c>
      <c r="R4" s="115"/>
      <c r="S4" s="115"/>
      <c r="T4" s="115"/>
      <c r="U4" s="115"/>
    </row>
    <row r="5" spans="1:21" s="8" customFormat="1" ht="43.5" customHeight="1" x14ac:dyDescent="0.25">
      <c r="A5" s="6" t="s">
        <v>9</v>
      </c>
      <c r="B5" s="6" t="s">
        <v>90</v>
      </c>
      <c r="C5" s="6" t="s">
        <v>5</v>
      </c>
      <c r="E5" s="6" t="s">
        <v>12</v>
      </c>
      <c r="F5" s="6" t="s">
        <v>8</v>
      </c>
      <c r="G5" s="6" t="s">
        <v>118</v>
      </c>
      <c r="H5" s="6" t="s">
        <v>94</v>
      </c>
      <c r="I5" s="6" t="s">
        <v>119</v>
      </c>
      <c r="K5" s="7">
        <v>2016</v>
      </c>
      <c r="L5" s="7">
        <v>2017</v>
      </c>
      <c r="M5" s="7">
        <v>2018</v>
      </c>
      <c r="N5" s="7">
        <v>2019</v>
      </c>
      <c r="O5" s="7">
        <v>2020</v>
      </c>
      <c r="Q5" s="7">
        <v>2016</v>
      </c>
      <c r="R5" s="7">
        <v>2017</v>
      </c>
      <c r="S5" s="7">
        <v>2018</v>
      </c>
      <c r="T5" s="7">
        <v>2019</v>
      </c>
      <c r="U5" s="7">
        <v>2020</v>
      </c>
    </row>
    <row r="6" spans="1:21" ht="60" x14ac:dyDescent="0.25">
      <c r="A6" s="4">
        <v>1</v>
      </c>
      <c r="B6" s="11" t="s">
        <v>76</v>
      </c>
      <c r="C6" s="45" t="s">
        <v>123</v>
      </c>
      <c r="E6" s="46">
        <f t="shared" ref="E6:E11" si="0">15/60</f>
        <v>0.25</v>
      </c>
      <c r="F6" s="47">
        <v>0</v>
      </c>
      <c r="G6" s="47">
        <f>0.1*14000</f>
        <v>1400</v>
      </c>
      <c r="H6" s="47">
        <f t="shared" ref="H6:H11" si="1">G6-F6</f>
        <v>1400</v>
      </c>
      <c r="I6" s="47">
        <f t="shared" ref="I6:I11" si="2">H6*E6</f>
        <v>350</v>
      </c>
      <c r="K6" s="5">
        <v>0</v>
      </c>
      <c r="L6" s="5">
        <v>0</v>
      </c>
      <c r="M6" s="5">
        <v>0.6</v>
      </c>
      <c r="N6" s="5">
        <v>0.8</v>
      </c>
      <c r="O6" s="5">
        <v>1</v>
      </c>
      <c r="Q6" s="47">
        <f t="shared" ref="Q6:U11" si="3">$I6*K6</f>
        <v>0</v>
      </c>
      <c r="R6" s="47">
        <f t="shared" si="3"/>
        <v>0</v>
      </c>
      <c r="S6" s="47">
        <f t="shared" si="3"/>
        <v>210</v>
      </c>
      <c r="T6" s="47">
        <f t="shared" si="3"/>
        <v>280</v>
      </c>
      <c r="U6" s="47">
        <f t="shared" si="3"/>
        <v>350</v>
      </c>
    </row>
    <row r="7" spans="1:21" ht="60" x14ac:dyDescent="0.25">
      <c r="A7" s="4">
        <v>2</v>
      </c>
      <c r="B7" s="11" t="s">
        <v>76</v>
      </c>
      <c r="C7" s="45" t="s">
        <v>124</v>
      </c>
      <c r="E7" s="46">
        <f t="shared" si="0"/>
        <v>0.25</v>
      </c>
      <c r="F7" s="47">
        <v>0</v>
      </c>
      <c r="G7" s="47">
        <f>0.1*14000</f>
        <v>1400</v>
      </c>
      <c r="H7" s="47">
        <f t="shared" si="1"/>
        <v>1400</v>
      </c>
      <c r="I7" s="47">
        <f t="shared" si="2"/>
        <v>350</v>
      </c>
      <c r="K7" s="5">
        <v>0</v>
      </c>
      <c r="L7" s="5">
        <v>0</v>
      </c>
      <c r="M7" s="5">
        <v>0.6</v>
      </c>
      <c r="N7" s="5">
        <v>0.8</v>
      </c>
      <c r="O7" s="5">
        <v>1</v>
      </c>
      <c r="Q7" s="47">
        <f t="shared" si="3"/>
        <v>0</v>
      </c>
      <c r="R7" s="47">
        <f t="shared" si="3"/>
        <v>0</v>
      </c>
      <c r="S7" s="47">
        <f t="shared" si="3"/>
        <v>210</v>
      </c>
      <c r="T7" s="47">
        <f t="shared" si="3"/>
        <v>280</v>
      </c>
      <c r="U7" s="47">
        <f t="shared" si="3"/>
        <v>350</v>
      </c>
    </row>
    <row r="8" spans="1:21" ht="90" x14ac:dyDescent="0.25">
      <c r="A8" s="4">
        <v>3</v>
      </c>
      <c r="B8" s="11" t="s">
        <v>75</v>
      </c>
      <c r="C8" s="50" t="s">
        <v>126</v>
      </c>
      <c r="E8" s="46">
        <f t="shared" si="0"/>
        <v>0.25</v>
      </c>
      <c r="F8" s="47">
        <v>0</v>
      </c>
      <c r="G8" s="47">
        <f>0.1*365*5</f>
        <v>182.5</v>
      </c>
      <c r="H8" s="47">
        <f t="shared" si="1"/>
        <v>182.5</v>
      </c>
      <c r="I8" s="47">
        <f t="shared" si="2"/>
        <v>45.625</v>
      </c>
      <c r="K8" s="5">
        <v>0</v>
      </c>
      <c r="L8" s="5">
        <v>0</v>
      </c>
      <c r="M8" s="5">
        <v>0.6</v>
      </c>
      <c r="N8" s="5">
        <v>0.8</v>
      </c>
      <c r="O8" s="5">
        <v>1</v>
      </c>
      <c r="Q8" s="47">
        <f t="shared" si="3"/>
        <v>0</v>
      </c>
      <c r="R8" s="47">
        <f t="shared" si="3"/>
        <v>0</v>
      </c>
      <c r="S8" s="47">
        <f t="shared" si="3"/>
        <v>27.375</v>
      </c>
      <c r="T8" s="47">
        <f t="shared" si="3"/>
        <v>36.5</v>
      </c>
      <c r="U8" s="47">
        <f t="shared" si="3"/>
        <v>45.625</v>
      </c>
    </row>
    <row r="9" spans="1:21" ht="60" x14ac:dyDescent="0.25">
      <c r="A9" s="4">
        <v>4</v>
      </c>
      <c r="B9" s="11" t="s">
        <v>75</v>
      </c>
      <c r="C9" s="50" t="s">
        <v>125</v>
      </c>
      <c r="E9" s="46">
        <f t="shared" si="0"/>
        <v>0.25</v>
      </c>
      <c r="F9" s="47">
        <v>0</v>
      </c>
      <c r="G9" s="47">
        <f>0.1*365*5</f>
        <v>182.5</v>
      </c>
      <c r="H9" s="47">
        <f t="shared" si="1"/>
        <v>182.5</v>
      </c>
      <c r="I9" s="47">
        <f t="shared" si="2"/>
        <v>45.625</v>
      </c>
      <c r="K9" s="5">
        <v>0</v>
      </c>
      <c r="L9" s="5">
        <v>0</v>
      </c>
      <c r="M9" s="5">
        <v>0.6</v>
      </c>
      <c r="N9" s="5">
        <v>0.8</v>
      </c>
      <c r="O9" s="5">
        <v>1</v>
      </c>
      <c r="Q9" s="47">
        <f t="shared" si="3"/>
        <v>0</v>
      </c>
      <c r="R9" s="47">
        <f t="shared" si="3"/>
        <v>0</v>
      </c>
      <c r="S9" s="47">
        <f t="shared" si="3"/>
        <v>27.375</v>
      </c>
      <c r="T9" s="47">
        <f t="shared" si="3"/>
        <v>36.5</v>
      </c>
      <c r="U9" s="47">
        <f t="shared" si="3"/>
        <v>45.625</v>
      </c>
    </row>
    <row r="10" spans="1:21" ht="60" x14ac:dyDescent="0.25">
      <c r="A10" s="4">
        <v>5</v>
      </c>
      <c r="B10" s="11" t="s">
        <v>75</v>
      </c>
      <c r="C10" s="50" t="s">
        <v>127</v>
      </c>
      <c r="E10" s="46">
        <f t="shared" si="0"/>
        <v>0.25</v>
      </c>
      <c r="F10" s="47">
        <v>0</v>
      </c>
      <c r="G10" s="47">
        <f>0.1*365*5</f>
        <v>182.5</v>
      </c>
      <c r="H10" s="47">
        <f t="shared" si="1"/>
        <v>182.5</v>
      </c>
      <c r="I10" s="47">
        <f t="shared" si="2"/>
        <v>45.625</v>
      </c>
      <c r="K10" s="5">
        <v>0</v>
      </c>
      <c r="L10" s="5">
        <v>0</v>
      </c>
      <c r="M10" s="5">
        <v>0.6</v>
      </c>
      <c r="N10" s="5">
        <v>0.8</v>
      </c>
      <c r="O10" s="5">
        <v>1</v>
      </c>
      <c r="Q10" s="47">
        <f t="shared" si="3"/>
        <v>0</v>
      </c>
      <c r="R10" s="47">
        <f t="shared" si="3"/>
        <v>0</v>
      </c>
      <c r="S10" s="47">
        <f t="shared" si="3"/>
        <v>27.375</v>
      </c>
      <c r="T10" s="47">
        <f t="shared" si="3"/>
        <v>36.5</v>
      </c>
      <c r="U10" s="47">
        <f t="shared" si="3"/>
        <v>45.625</v>
      </c>
    </row>
    <row r="11" spans="1:21" ht="60" x14ac:dyDescent="0.25">
      <c r="A11" s="4">
        <v>6</v>
      </c>
      <c r="B11" s="11" t="s">
        <v>75</v>
      </c>
      <c r="C11" s="50" t="s">
        <v>128</v>
      </c>
      <c r="E11" s="46">
        <f t="shared" si="0"/>
        <v>0.25</v>
      </c>
      <c r="F11" s="47">
        <v>0</v>
      </c>
      <c r="G11" s="47">
        <f>0.1*365*5</f>
        <v>182.5</v>
      </c>
      <c r="H11" s="47">
        <f t="shared" si="1"/>
        <v>182.5</v>
      </c>
      <c r="I11" s="47">
        <f t="shared" si="2"/>
        <v>45.625</v>
      </c>
      <c r="K11" s="5">
        <v>0</v>
      </c>
      <c r="L11" s="5">
        <v>0</v>
      </c>
      <c r="M11" s="5">
        <v>0.6</v>
      </c>
      <c r="N11" s="5">
        <v>0.8</v>
      </c>
      <c r="O11" s="5">
        <v>1</v>
      </c>
      <c r="Q11" s="47">
        <f t="shared" si="3"/>
        <v>0</v>
      </c>
      <c r="R11" s="47">
        <f t="shared" si="3"/>
        <v>0</v>
      </c>
      <c r="S11" s="47">
        <f t="shared" si="3"/>
        <v>27.375</v>
      </c>
      <c r="T11" s="47">
        <f t="shared" si="3"/>
        <v>36.5</v>
      </c>
      <c r="U11" s="47">
        <f t="shared" si="3"/>
        <v>45.625</v>
      </c>
    </row>
    <row r="12" spans="1:21" ht="19.5" customHeight="1" x14ac:dyDescent="0.25">
      <c r="A12" s="4">
        <v>7</v>
      </c>
      <c r="B12" s="4"/>
      <c r="C12" s="4"/>
      <c r="E12" s="46"/>
      <c r="F12" s="47"/>
      <c r="G12" s="47"/>
      <c r="H12" s="47"/>
      <c r="I12" s="47"/>
      <c r="K12" s="4"/>
      <c r="L12" s="4"/>
      <c r="M12" s="4"/>
      <c r="N12" s="4"/>
      <c r="O12" s="4"/>
      <c r="Q12" s="47"/>
      <c r="R12" s="47"/>
      <c r="S12" s="47"/>
      <c r="T12" s="47"/>
      <c r="U12" s="47"/>
    </row>
    <row r="13" spans="1:21" ht="19.5" customHeight="1" x14ac:dyDescent="0.25">
      <c r="A13" s="4">
        <v>8</v>
      </c>
      <c r="B13" s="4"/>
      <c r="C13" s="4"/>
      <c r="E13" s="46"/>
      <c r="F13" s="47"/>
      <c r="G13" s="47"/>
      <c r="H13" s="47"/>
      <c r="I13" s="47"/>
      <c r="K13" s="4"/>
      <c r="L13" s="4"/>
      <c r="M13" s="4"/>
      <c r="N13" s="4"/>
      <c r="O13" s="4"/>
      <c r="Q13" s="47"/>
      <c r="R13" s="47"/>
      <c r="S13" s="47"/>
      <c r="T13" s="47"/>
      <c r="U13" s="47"/>
    </row>
    <row r="14" spans="1:21" ht="19.5" customHeight="1" x14ac:dyDescent="0.25">
      <c r="A14" s="4">
        <v>9</v>
      </c>
      <c r="B14" s="4"/>
      <c r="C14" s="4"/>
      <c r="E14" s="46"/>
      <c r="F14" s="47"/>
      <c r="G14" s="47"/>
      <c r="H14" s="47"/>
      <c r="I14" s="47"/>
      <c r="K14" s="4"/>
      <c r="L14" s="4"/>
      <c r="M14" s="4"/>
      <c r="N14" s="4"/>
      <c r="O14" s="4"/>
      <c r="Q14" s="47"/>
      <c r="R14" s="47"/>
      <c r="S14" s="47"/>
      <c r="T14" s="47"/>
      <c r="U14" s="47"/>
    </row>
    <row r="15" spans="1:21" ht="19.5" customHeight="1" x14ac:dyDescent="0.25">
      <c r="A15" s="4">
        <v>10</v>
      </c>
      <c r="B15" s="4"/>
      <c r="C15" s="4"/>
      <c r="E15" s="46"/>
      <c r="F15" s="47"/>
      <c r="G15" s="47"/>
      <c r="H15" s="47"/>
      <c r="I15" s="47"/>
      <c r="K15" s="4"/>
      <c r="L15" s="4"/>
      <c r="M15" s="4"/>
      <c r="N15" s="4"/>
      <c r="O15" s="4"/>
      <c r="Q15" s="47"/>
      <c r="R15" s="47"/>
      <c r="S15" s="47"/>
      <c r="T15" s="47"/>
      <c r="U15" s="47"/>
    </row>
    <row r="16" spans="1:21" ht="19.5" customHeight="1" x14ac:dyDescent="0.25"/>
    <row r="17" spans="14:21" x14ac:dyDescent="0.25">
      <c r="O17" s="49" t="s">
        <v>100</v>
      </c>
      <c r="Q17" s="87">
        <f>SUM(Q6:Q15)</f>
        <v>0</v>
      </c>
      <c r="R17" s="87">
        <f>SUM(R6:R15)</f>
        <v>0</v>
      </c>
      <c r="S17" s="87">
        <f>SUM(S6:S15)</f>
        <v>529.5</v>
      </c>
      <c r="T17" s="87">
        <f>SUM(T6:T15)</f>
        <v>706</v>
      </c>
      <c r="U17" s="87">
        <f>SUM(U6:U15)</f>
        <v>882.5</v>
      </c>
    </row>
    <row r="18" spans="14:21" x14ac:dyDescent="0.25">
      <c r="O18" s="49" t="s">
        <v>101</v>
      </c>
      <c r="Q18" s="88">
        <f>Q17/$Q$20</f>
        <v>0</v>
      </c>
      <c r="R18" s="88">
        <f t="shared" ref="R18:U18" si="4">R17/$Q$20</f>
        <v>0</v>
      </c>
      <c r="S18" s="88">
        <f t="shared" si="4"/>
        <v>0.30695652173913046</v>
      </c>
      <c r="T18" s="88">
        <f t="shared" si="4"/>
        <v>0.4092753623188406</v>
      </c>
      <c r="U18" s="88">
        <f t="shared" si="4"/>
        <v>0.51159420289855073</v>
      </c>
    </row>
    <row r="19" spans="14:21" x14ac:dyDescent="0.25">
      <c r="O19" s="49"/>
      <c r="Q19" s="89"/>
      <c r="R19" s="89"/>
      <c r="S19" s="89"/>
      <c r="T19" s="89"/>
      <c r="U19" s="89"/>
    </row>
    <row r="20" spans="14:21" x14ac:dyDescent="0.25">
      <c r="N20" s="10" t="s">
        <v>102</v>
      </c>
      <c r="Q20">
        <f>46*37.5</f>
        <v>1725</v>
      </c>
    </row>
  </sheetData>
  <mergeCells count="5">
    <mergeCell ref="A1:B2"/>
    <mergeCell ref="B3:C3"/>
    <mergeCell ref="F4:I4"/>
    <mergeCell ref="K4:O4"/>
    <mergeCell ref="Q4:U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</vt:lpstr>
      <vt:lpstr>CAD</vt:lpstr>
      <vt:lpstr>CRP</vt:lpstr>
      <vt:lpstr>MC</vt:lpstr>
      <vt:lpstr>SMP</vt:lpstr>
      <vt:lpstr>DRM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Giffin</dc:creator>
  <cp:lastModifiedBy>Robert Ball</cp:lastModifiedBy>
  <cp:lastPrinted>2015-12-22T22:23:22Z</cp:lastPrinted>
  <dcterms:created xsi:type="dcterms:W3CDTF">2015-12-03T03:18:45Z</dcterms:created>
  <dcterms:modified xsi:type="dcterms:W3CDTF">2015-12-30T05:12:24Z</dcterms:modified>
</cp:coreProperties>
</file>